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firstSheet="2" activeTab="2"/>
  </bookViews>
  <sheets>
    <sheet name="000000" sheetId="1" state="veryHidden" r:id="rId1"/>
    <sheet name="回復済み_Sheet1" sheetId="2" state="veryHidden" r:id="rId2"/>
    <sheet name="表紙" sheetId="3" r:id="rId3"/>
    <sheet name="給水量" sheetId="4" r:id="rId4"/>
    <sheet name="ﾀﾝｸ･揚水ﾎﾟﾝﾌﾟ" sheetId="5" r:id="rId5"/>
    <sheet name="配管算定" sheetId="6" r:id="rId6"/>
    <sheet name="給水負荷単位" sheetId="7" r:id="rId7"/>
    <sheet name="立て主管" sheetId="8" r:id="rId8"/>
    <sheet name="給水配管" sheetId="9" r:id="rId9"/>
  </sheets>
  <externalReferences>
    <externalReference r:id="rId12"/>
  </externalReferences>
  <definedNames>
    <definedName name="_xlnm.Print_Area" localSheetId="4">'ﾀﾝｸ･揚水ﾎﾟﾝﾌﾟ'!$B$2:$M$49</definedName>
    <definedName name="_xlnm.Print_Area" localSheetId="8">'給水配管'!$B$2:$L$49</definedName>
    <definedName name="_xlnm.Print_Area" localSheetId="6">'給水負荷単位'!$B$2:$V$56</definedName>
    <definedName name="_xlnm.Print_Area" localSheetId="3">'給水量'!$B$2:$H$46</definedName>
    <definedName name="_xlnm.Print_Area" localSheetId="5">'配管算定'!$B$2:$AM$42</definedName>
    <definedName name="_xlnm.Print_Area" localSheetId="2">'表紙'!$B$2:$N$43</definedName>
    <definedName name="_xlnm.Print_Area" localSheetId="7">'立て主管'!$B$2:$Z$53</definedName>
  </definedNames>
  <calcPr fullCalcOnLoad="1"/>
</workbook>
</file>

<file path=xl/comments4.xml><?xml version="1.0" encoding="utf-8"?>
<comments xmlns="http://schemas.openxmlformats.org/spreadsheetml/2006/main">
  <authors>
    <author>伊勢崎　正視</author>
  </authors>
  <commentList>
    <comment ref="D22" authorId="0">
      <text>
        <r>
          <rPr>
            <sz val="9"/>
            <rFont val="ＭＳ Ｐゴシック"/>
            <family val="3"/>
          </rPr>
          <t>デフォルトは200Kcal/m2で、自動
計算。能力数値が明確な場合は
修正上書きのこと。</t>
        </r>
      </text>
    </comment>
    <comment ref="D3" authorId="0">
      <text>
        <r>
          <rPr>
            <sz val="8"/>
            <rFont val="ＭＳ Ｐゴシック"/>
            <family val="3"/>
          </rPr>
          <t xml:space="preserve">通常は下記の式による
人員等明確な場合または
その他の条件による場合は手入力
［参考］右下算出方法例　
空調衛生学会等のデータ
活用
共同住宅の場合は別紙算定書による
</t>
        </r>
      </text>
    </comment>
  </commentList>
</comments>
</file>

<file path=xl/comments5.xml><?xml version="1.0" encoding="utf-8"?>
<comments xmlns="http://schemas.openxmlformats.org/spreadsheetml/2006/main">
  <authors>
    <author>伊勢崎　正視</author>
  </authors>
  <commentList>
    <comment ref="J13" authorId="0">
      <text>
        <r>
          <rPr>
            <sz val="9"/>
            <rFont val="ＭＳ Ｐゴシック"/>
            <family val="3"/>
          </rPr>
          <t>季節的負荷変動が大きい場合等、長時間タンクに水が対流する場合</t>
        </r>
      </text>
    </comment>
  </commentList>
</comments>
</file>

<file path=xl/comments7.xml><?xml version="1.0" encoding="utf-8"?>
<comments xmlns="http://schemas.openxmlformats.org/spreadsheetml/2006/main">
  <authors>
    <author>伊勢崎　正視</author>
  </authors>
  <commentList>
    <comment ref="E3" authorId="0">
      <text>
        <r>
          <rPr>
            <sz val="9"/>
            <rFont val="ＭＳ Ｐゴシック"/>
            <family val="3"/>
          </rPr>
          <t xml:space="preserve">低層階より記入
；右へ高層階
</t>
        </r>
      </text>
    </comment>
  </commentList>
</comments>
</file>

<file path=xl/comments9.xml><?xml version="1.0" encoding="utf-8"?>
<comments xmlns="http://schemas.openxmlformats.org/spreadsheetml/2006/main">
  <authors>
    <author>伊勢崎　正視</author>
    <author>ｍｓ　user</author>
  </authors>
  <commentList>
    <comment ref="L7" authorId="0">
      <text>
        <r>
          <rPr>
            <sz val="9"/>
            <rFont val="ＭＳ Ｐゴシック"/>
            <family val="3"/>
          </rPr>
          <t>摩擦抵抗が少ない値を採用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受水槽への給水管出口が水道本管より上方の場合は正の値
</t>
        </r>
      </text>
    </comment>
    <comment ref="H5" authorId="0">
      <text>
        <r>
          <rPr>
            <sz val="9"/>
            <rFont val="ＭＳ Ｐゴシック"/>
            <family val="3"/>
          </rPr>
          <t>水道本管取出し位置から受水槽への給水管出口まで</t>
        </r>
      </text>
    </comment>
    <comment ref="L10" authorId="0">
      <text>
        <r>
          <rPr>
            <b/>
            <sz val="9"/>
            <rFont val="ＭＳ Ｐゴシック"/>
            <family val="3"/>
          </rPr>
          <t>デフォルト
　推奨摩擦抵抗使用
配管許容摩擦抵抗使用の場合はEngBVF関数の摩擦抵抗値の指定セルを変更の事
通常の配管ではデフォルト値
が優先と思われる。</t>
        </r>
      </text>
    </comment>
    <comment ref="G45" authorId="1">
      <text>
        <r>
          <rPr>
            <sz val="9"/>
            <rFont val="ＭＳ Ｐゴシック"/>
            <family val="3"/>
          </rPr>
          <t xml:space="preserve">配管許容摩擦抵抗＜
　　　　　推奨摩擦抵抗の場合
上記計算式を配管許容摩擦抵抗
を使用するに変更
</t>
        </r>
      </text>
    </comment>
    <comment ref="C24" authorId="1">
      <text>
        <r>
          <rPr>
            <sz val="9"/>
            <rFont val="ＭＳ Ｐゴシック"/>
            <family val="3"/>
          </rPr>
          <t xml:space="preserve">BFのある場合は
注意
</t>
        </r>
      </text>
    </comment>
    <comment ref="D24" authorId="1">
      <text>
        <r>
          <rPr>
            <sz val="9"/>
            <rFont val="ＭＳ Ｐゴシック"/>
            <family val="3"/>
          </rPr>
          <t>チェック要</t>
        </r>
      </text>
    </comment>
  </commentList>
</comments>
</file>

<file path=xl/sharedStrings.xml><?xml version="1.0" encoding="utf-8"?>
<sst xmlns="http://schemas.openxmlformats.org/spreadsheetml/2006/main" count="574" uniqueCount="390">
  <si>
    <t>設　計　計　算　書</t>
  </si>
  <si>
    <t>高低差</t>
  </si>
  <si>
    <t>給水量</t>
  </si>
  <si>
    <t>水道本管</t>
  </si>
  <si>
    <t>水圧</t>
  </si>
  <si>
    <t>定水位調整弁</t>
  </si>
  <si>
    <t>必要最小圧力</t>
  </si>
  <si>
    <t>量水器摩擦</t>
  </si>
  <si>
    <t>損失水頭</t>
  </si>
  <si>
    <t>配管実長</t>
  </si>
  <si>
    <t>計　算　式</t>
  </si>
  <si>
    <t>抵抗</t>
  </si>
  <si>
    <t>時間平均予想</t>
  </si>
  <si>
    <t>平均流量</t>
  </si>
  <si>
    <t>推奨流速</t>
  </si>
  <si>
    <t>推奨摩擦抵抗</t>
  </si>
  <si>
    <t>配管許容摩擦</t>
  </si>
  <si>
    <t>管　　　径</t>
  </si>
  <si>
    <t>用　　途</t>
  </si>
  <si>
    <t>楊水量</t>
  </si>
  <si>
    <t>管　　径</t>
  </si>
  <si>
    <t>階</t>
  </si>
  <si>
    <t>代表給水器具</t>
  </si>
  <si>
    <t>管長実長</t>
  </si>
  <si>
    <t>局部抵抗相当長</t>
  </si>
  <si>
    <t>区間</t>
  </si>
  <si>
    <t>給水負荷単位</t>
  </si>
  <si>
    <t>同時使用流量</t>
  </si>
  <si>
    <t>瞬時最大流量</t>
  </si>
  <si>
    <t>Q=QPW</t>
  </si>
  <si>
    <t>(m/sec)</t>
  </si>
  <si>
    <t>：欄に入力</t>
  </si>
  <si>
    <t>Qfd(m3/d)=プールの容積(m3)×0.05～0.2</t>
  </si>
  <si>
    <t>：欄は選択</t>
  </si>
  <si>
    <t>q d  (l/d)</t>
  </si>
  <si>
    <t>q d = N・q</t>
  </si>
  <si>
    <t>t (h)</t>
  </si>
  <si>
    <t>q h = q d/t</t>
  </si>
  <si>
    <t>Qch (ｌ/h)</t>
  </si>
  <si>
    <t>Qcp=Qchm/60</t>
  </si>
  <si>
    <t>QH=Qh+Qch</t>
  </si>
  <si>
    <t>QHM=Qhm+Qchm</t>
  </si>
  <si>
    <t>Qp=Qp+Qcp</t>
  </si>
  <si>
    <t xml:space="preserve">     +(Qxh)</t>
  </si>
  <si>
    <t xml:space="preserve">     +(Qxhm)</t>
  </si>
  <si>
    <t xml:space="preserve">     +(Qxp)</t>
  </si>
  <si>
    <t>-</t>
  </si>
  <si>
    <t>QTW =</t>
  </si>
  <si>
    <t>-</t>
  </si>
  <si>
    <t>QTWH =</t>
  </si>
  <si>
    <t>QFW</t>
  </si>
  <si>
    <t>(l/min)</t>
  </si>
  <si>
    <t>HPW</t>
  </si>
  <si>
    <t>H1=R・L/1,000</t>
  </si>
  <si>
    <t>QPW</t>
  </si>
  <si>
    <t>(kw)</t>
  </si>
  <si>
    <t>面積比</t>
  </si>
  <si>
    <t>延面積</t>
  </si>
  <si>
    <t>二重効用吸収冷凍機</t>
  </si>
  <si>
    <t>小形吸収冷温水機ﾕﾆｯﾄ</t>
  </si>
  <si>
    <t>P=(r×Q×H)/(6120×η)</t>
  </si>
  <si>
    <t>大便器（洗浄弁）</t>
  </si>
  <si>
    <t>大便器（洗浄タンク）</t>
  </si>
  <si>
    <t>小便器（洗浄弁）</t>
  </si>
  <si>
    <t>小便器（洗浄タンク）</t>
  </si>
  <si>
    <t>洗面器（給水栓）</t>
  </si>
  <si>
    <t>手洗器（給水栓）</t>
  </si>
  <si>
    <t>事務室用流し（給水栓）</t>
  </si>
  <si>
    <t>台所流し（給水栓）</t>
  </si>
  <si>
    <t>料理場流し（給水栓）</t>
  </si>
  <si>
    <t>料理場流し（混合弁）</t>
  </si>
  <si>
    <t>連合流し（給水栓）</t>
  </si>
  <si>
    <t>掃除流し（給水栓）</t>
  </si>
  <si>
    <t>浴槽（給水栓）</t>
  </si>
  <si>
    <t>シャワー（混合栓）</t>
  </si>
  <si>
    <t>水飲器（水飲み水栓）</t>
  </si>
  <si>
    <t>湯沸器（ボールタップ）</t>
  </si>
  <si>
    <t>散水・車庫（給水栓）</t>
  </si>
  <si>
    <t>平成　　　年　　　月</t>
  </si>
  <si>
    <t>確　認　印</t>
  </si>
  <si>
    <t>有効面積人員</t>
  </si>
  <si>
    <t>対象人員=有効面積当たりの人員×(有効面積/延面積)×延面積</t>
  </si>
  <si>
    <t>□算出方法　　例</t>
  </si>
  <si>
    <t>実数に基づく場合</t>
  </si>
  <si>
    <t>＿数に対する割合</t>
  </si>
  <si>
    <t>延面積1㎡当たり</t>
  </si>
  <si>
    <t>□概算用冷凍能力の算定</t>
  </si>
  <si>
    <t>Qch  (l/h)</t>
  </si>
  <si>
    <t>概算RT=空調面積（㎡）×150～200(Kcal/h㎡)/3,024(Kcal/USRT)</t>
  </si>
  <si>
    <t>㎡</t>
  </si>
  <si>
    <t>圧縮式冷凍機</t>
  </si>
  <si>
    <t>㎡</t>
  </si>
  <si>
    <t>一重効用吸収冷凍機</t>
  </si>
  <si>
    <t>㎡</t>
  </si>
  <si>
    <t>ﾋｰﾎﾟﾝﾁﾗｰ</t>
  </si>
  <si>
    <t>直焚吸収冷温水機</t>
  </si>
  <si>
    <t>□自家発電機用冷却水量</t>
  </si>
  <si>
    <t>Qeh(l/h)=30～40(l/kVA･h)×発電機出力(kVA)</t>
  </si>
  <si>
    <t>kVA</t>
  </si>
  <si>
    <t>自家発電機</t>
  </si>
  <si>
    <t>□プールの補給水量</t>
  </si>
  <si>
    <t>プール</t>
  </si>
  <si>
    <t>Qfh(m3/h)=Qfd/24</t>
  </si>
  <si>
    <r>
      <t>m</t>
    </r>
    <r>
      <rPr>
        <vertAlign val="superscript"/>
        <sz val="9"/>
        <rFont val="MS UI Gothic"/>
        <family val="3"/>
      </rPr>
      <t>3</t>
    </r>
  </si>
  <si>
    <t>：欄は選択</t>
  </si>
  <si>
    <t>高　置　タ　ン　ク　方　式　の　場　合</t>
  </si>
  <si>
    <t>給 水 引 込 管</t>
  </si>
  <si>
    <t>&lt;</t>
  </si>
  <si>
    <t>許容摩擦抵抗</t>
  </si>
  <si>
    <t>&gt;</t>
  </si>
  <si>
    <t>揚水管</t>
  </si>
  <si>
    <t>(l/min)</t>
  </si>
  <si>
    <t>高置タンク以降の給水管（等摩擦抵抗法による場合）</t>
  </si>
  <si>
    <t>Q(l/min)</t>
  </si>
  <si>
    <t>食器洗い流し（給水栓）</t>
  </si>
  <si>
    <t>浴室（大便器ﾀﾝｸ）</t>
  </si>
  <si>
    <t>QHM</t>
  </si>
  <si>
    <t xml:space="preserve"> Qp</t>
  </si>
  <si>
    <t xml:space="preserve"> (l/h)</t>
  </si>
  <si>
    <t>(h)</t>
  </si>
  <si>
    <t xml:space="preserve"> (l/min)</t>
  </si>
  <si>
    <t xml:space="preserve"> (h)</t>
  </si>
  <si>
    <r>
      <t>t</t>
    </r>
    <r>
      <rPr>
        <vertAlign val="subscript"/>
        <sz val="8"/>
        <rFont val="MS UI Gothic"/>
        <family val="3"/>
      </rPr>
      <t>1</t>
    </r>
  </si>
  <si>
    <t xml:space="preserve">QTW </t>
  </si>
  <si>
    <r>
      <t>t</t>
    </r>
    <r>
      <rPr>
        <vertAlign val="subscript"/>
        <sz val="8"/>
        <rFont val="MS UI Gothic"/>
        <family val="3"/>
      </rPr>
      <t>2</t>
    </r>
  </si>
  <si>
    <r>
      <t>t</t>
    </r>
    <r>
      <rPr>
        <vertAlign val="subscript"/>
        <sz val="8"/>
        <rFont val="MS UI Gothic"/>
        <family val="3"/>
      </rPr>
      <t>3</t>
    </r>
    <r>
      <rPr>
        <sz val="8"/>
        <rFont val="MS UI Gothic"/>
        <family val="3"/>
      </rPr>
      <t xml:space="preserve"> </t>
    </r>
  </si>
  <si>
    <r>
      <t>t</t>
    </r>
    <r>
      <rPr>
        <vertAlign val="subscript"/>
        <sz val="8"/>
        <rFont val="MS UI Gothic"/>
        <family val="3"/>
      </rPr>
      <t>4</t>
    </r>
    <r>
      <rPr>
        <sz val="8"/>
        <rFont val="MS UI Gothic"/>
        <family val="3"/>
      </rPr>
      <t xml:space="preserve"> </t>
    </r>
  </si>
  <si>
    <t xml:space="preserve">QTWH </t>
  </si>
  <si>
    <t>QHM (l/h)</t>
  </si>
  <si>
    <t>P所要動力</t>
  </si>
  <si>
    <t>(l/min)</t>
  </si>
  <si>
    <t>(mm)</t>
  </si>
  <si>
    <r>
      <t xml:space="preserve"> (m</t>
    </r>
    <r>
      <rPr>
        <vertAlign val="superscript"/>
        <sz val="8"/>
        <rFont val="MS UI Gothic"/>
        <family val="3"/>
      </rPr>
      <t>3</t>
    </r>
    <r>
      <rPr>
        <sz val="8"/>
        <rFont val="MS UI Gothic"/>
        <family val="3"/>
      </rPr>
      <t>)</t>
    </r>
  </si>
  <si>
    <r>
      <t>QTW=QHM・t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/1,000</t>
    </r>
  </si>
  <si>
    <r>
      <t>QTWH=QHM・t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/1,000</t>
    </r>
  </si>
  <si>
    <r>
      <t>QTWH={60・(QP-QPW)t</t>
    </r>
    <r>
      <rPr>
        <vertAlign val="subscript"/>
        <sz val="8"/>
        <rFont val="MS UI Gothic"/>
        <family val="3"/>
      </rPr>
      <t>3</t>
    </r>
    <r>
      <rPr>
        <sz val="8"/>
        <rFont val="MS UI Gothic"/>
        <family val="3"/>
      </rPr>
      <t>+</t>
    </r>
  </si>
  <si>
    <r>
      <t>60・QPW・T</t>
    </r>
    <r>
      <rPr>
        <vertAlign val="subscript"/>
        <sz val="8"/>
        <rFont val="MS UI Gothic"/>
        <family val="3"/>
      </rPr>
      <t>4</t>
    </r>
    <r>
      <rPr>
        <sz val="8"/>
        <rFont val="MS UI Gothic"/>
        <family val="3"/>
      </rPr>
      <t>}/1,000</t>
    </r>
  </si>
  <si>
    <r>
      <t>K</t>
    </r>
    <r>
      <rPr>
        <vertAlign val="subscript"/>
        <sz val="8"/>
        <rFont val="MS UI Gothic"/>
        <family val="3"/>
      </rPr>
      <t>1</t>
    </r>
  </si>
  <si>
    <r>
      <t>QPW=K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・QHM/60</t>
    </r>
  </si>
  <si>
    <r>
      <t>H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=</t>
    </r>
  </si>
  <si>
    <r>
      <t>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=</t>
    </r>
  </si>
  <si>
    <r>
      <t>H</t>
    </r>
    <r>
      <rPr>
        <vertAlign val="subscript"/>
        <sz val="8"/>
        <rFont val="MS UI Gothic"/>
        <family val="3"/>
      </rPr>
      <t>4</t>
    </r>
    <r>
      <rPr>
        <sz val="8"/>
        <rFont val="MS UI Gothic"/>
        <family val="3"/>
      </rPr>
      <t>=</t>
    </r>
  </si>
  <si>
    <r>
      <t>(mH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O)</t>
    </r>
  </si>
  <si>
    <t>タ　　　ン　　　ク</t>
  </si>
  <si>
    <t>高　置　タ　ン　ク　方　式　の　場　合</t>
  </si>
  <si>
    <t>Ｃ＝</t>
  </si>
  <si>
    <t>Ｒ＝</t>
  </si>
  <si>
    <t>大便器ＦＶの有無</t>
  </si>
  <si>
    <t>×</t>
  </si>
  <si>
    <t>器　具　名</t>
  </si>
  <si>
    <t>器具負荷単位累計</t>
  </si>
  <si>
    <t>器具給水負荷単位</t>
  </si>
  <si>
    <t>×</t>
  </si>
  <si>
    <t>概算容量</t>
  </si>
  <si>
    <t>ポンプ効率</t>
  </si>
  <si>
    <t>電動機 KW</t>
  </si>
  <si>
    <t>渦巻きポンプ</t>
  </si>
  <si>
    <t>タービンポンプ</t>
  </si>
  <si>
    <t>電動機計算値</t>
  </si>
  <si>
    <t>選定電動機</t>
  </si>
  <si>
    <t>人 員 に よ り 生 活 用 水 を 算 定 す る 場 合</t>
  </si>
  <si>
    <t>生　　　活　　　用　　　水</t>
  </si>
  <si>
    <t>冷却塔補給給水</t>
  </si>
  <si>
    <t>給　　　水　　　量　　　計　　　算</t>
  </si>
  <si>
    <t>使　用　者　種　別</t>
  </si>
  <si>
    <t>使用者数算出方法</t>
  </si>
  <si>
    <t>計　　算　　式</t>
  </si>
  <si>
    <t>人　員</t>
  </si>
  <si>
    <t>N  （人）</t>
  </si>
  <si>
    <t>対象人員=有効面積当たりの人員×(有効面積/延面積)×延面積</t>
  </si>
  <si>
    <t>N=     (人)×　　　　　×　　　　　(㎡)</t>
  </si>
  <si>
    <t>１日使用水量</t>
  </si>
  <si>
    <t>１日平均使用時間</t>
  </si>
  <si>
    <t>時間平均予想</t>
  </si>
  <si>
    <t>q (l/d・人)</t>
  </si>
  <si>
    <t>合計　Ｑh</t>
  </si>
  <si>
    <t>冷凍機形式</t>
  </si>
  <si>
    <t>冷凍機能力</t>
  </si>
  <si>
    <t>1USRT当り</t>
  </si>
  <si>
    <t>補給水係数</t>
  </si>
  <si>
    <t>時間平均補給水量</t>
  </si>
  <si>
    <t>冷却水量</t>
  </si>
  <si>
    <t>RT　(USRT)</t>
  </si>
  <si>
    <t>qc (l/min・USRT)</t>
  </si>
  <si>
    <r>
      <t>K</t>
    </r>
    <r>
      <rPr>
        <vertAlign val="subscript"/>
        <sz val="8"/>
        <rFont val="MS UI Gothic"/>
        <family val="3"/>
      </rPr>
      <t>3</t>
    </r>
  </si>
  <si>
    <r>
      <t>Qch=60･K</t>
    </r>
    <r>
      <rPr>
        <vertAlign val="subscript"/>
        <sz val="8"/>
        <rFont val="MS UI Gothic"/>
        <family val="3"/>
      </rPr>
      <t>3</t>
    </r>
    <r>
      <rPr>
        <sz val="8"/>
        <rFont val="MS UI Gothic"/>
        <family val="3"/>
      </rPr>
      <t>・qc・RT</t>
    </r>
  </si>
  <si>
    <t>合計　Ｑch</t>
  </si>
  <si>
    <t>用　　　途</t>
  </si>
  <si>
    <t>時間平均予想給水量</t>
  </si>
  <si>
    <t>時間最大使用係数</t>
  </si>
  <si>
    <t>時間最大予想給水量　Ｑhm (l/h)</t>
  </si>
  <si>
    <t>瞬時最大使用係数　</t>
  </si>
  <si>
    <t>瞬時最大予想給水量　Ｑp (l/min)</t>
  </si>
  <si>
    <t>Qh (l/h)</t>
  </si>
  <si>
    <r>
      <t>K</t>
    </r>
    <r>
      <rPr>
        <vertAlign val="subscript"/>
        <sz val="8"/>
        <rFont val="MS UI Gothic"/>
        <family val="3"/>
      </rPr>
      <t>1</t>
    </r>
  </si>
  <si>
    <r>
      <t>Qhm=K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・Qh</t>
    </r>
  </si>
  <si>
    <r>
      <t>K</t>
    </r>
    <r>
      <rPr>
        <vertAlign val="subscript"/>
        <sz val="8"/>
        <rFont val="MS UI Gothic"/>
        <family val="3"/>
      </rPr>
      <t>2</t>
    </r>
  </si>
  <si>
    <r>
      <t>Qp=K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・Qhm/60</t>
    </r>
  </si>
  <si>
    <t>生　活　用　水</t>
  </si>
  <si>
    <t>時間平均補給水量</t>
  </si>
  <si>
    <t>時間最大補給水量　Ｑchm (l/h)</t>
  </si>
  <si>
    <t>瞬時最大補給水量　Ｑcp (l/min)</t>
  </si>
  <si>
    <r>
      <t>K</t>
    </r>
    <r>
      <rPr>
        <vertAlign val="subscript"/>
        <sz val="8"/>
        <rFont val="MS UI Gothic"/>
        <family val="3"/>
      </rPr>
      <t>4</t>
    </r>
  </si>
  <si>
    <r>
      <t>Qchm=K</t>
    </r>
    <r>
      <rPr>
        <vertAlign val="subscript"/>
        <sz val="8"/>
        <rFont val="MS UI Gothic"/>
        <family val="3"/>
      </rPr>
      <t>4</t>
    </r>
    <r>
      <rPr>
        <sz val="8"/>
        <rFont val="MS UI Gothic"/>
        <family val="3"/>
      </rPr>
      <t>・Qch</t>
    </r>
  </si>
  <si>
    <t>冷却塔補給水</t>
  </si>
  <si>
    <t>時間平均予想給水量  Qxh (l/h)</t>
  </si>
  <si>
    <t>時間最大予想給水量　Ｑxhm (l/h)</t>
  </si>
  <si>
    <t>瞬時最大予想給水量 Ｑxp (l/min)</t>
  </si>
  <si>
    <t>時間平均予想給水量  QH  (l/h)</t>
  </si>
  <si>
    <t>時間最大予想給水量　QHM (l/h)</t>
  </si>
  <si>
    <t>瞬時最大予想給水量 Qp (l/min)</t>
  </si>
  <si>
    <t>集　　　計</t>
  </si>
  <si>
    <t>１人１日平均　　　       使 用 水 量</t>
  </si>
  <si>
    <t xml:space="preserve"> 給水量 q h (l/d)</t>
  </si>
  <si>
    <t>揚 水 量</t>
  </si>
  <si>
    <t>揚   程   の   算   定</t>
  </si>
  <si>
    <t>揚水ポンプ</t>
  </si>
  <si>
    <t>用　途</t>
  </si>
  <si>
    <t>時間最大予想給水量</t>
  </si>
  <si>
    <t>貯蔵時間</t>
  </si>
  <si>
    <t xml:space="preserve">瞬時最大予想給水量 </t>
  </si>
  <si>
    <t>揚水ポンプ揚水量</t>
  </si>
  <si>
    <t>瞬時最大継続時間</t>
  </si>
  <si>
    <t>揚水ポンプ最短運転時間</t>
  </si>
  <si>
    <t>タンク容量</t>
  </si>
  <si>
    <t>受水槽</t>
  </si>
  <si>
    <t>受水タンク</t>
  </si>
  <si>
    <t>高置タンク</t>
  </si>
  <si>
    <t>高置タンク</t>
  </si>
  <si>
    <t>又は</t>
  </si>
  <si>
    <t>時間最大に対する割合</t>
  </si>
  <si>
    <t>揚水量</t>
  </si>
  <si>
    <t>区　　　分</t>
  </si>
  <si>
    <t xml:space="preserve"> 推奨流速 </t>
  </si>
  <si>
    <t xml:space="preserve">配管実長 </t>
  </si>
  <si>
    <t>1m当りの</t>
  </si>
  <si>
    <t>抵抗･水頭･高低差</t>
  </si>
  <si>
    <t>余裕係数</t>
  </si>
  <si>
    <t>揚　　程</t>
  </si>
  <si>
    <t>抵　　　抗</t>
  </si>
  <si>
    <t>配管摩擦</t>
  </si>
  <si>
    <t>Ｌ</t>
  </si>
  <si>
    <t>抵抗　R</t>
  </si>
  <si>
    <t>HPW</t>
  </si>
  <si>
    <t xml:space="preserve"> (v/sec)</t>
  </si>
  <si>
    <t>(m)</t>
  </si>
  <si>
    <t>管径</t>
  </si>
  <si>
    <t>H3=省略</t>
  </si>
  <si>
    <t>余裕係数で処理</t>
  </si>
  <si>
    <t>計</t>
  </si>
  <si>
    <t>楊　程</t>
  </si>
  <si>
    <t>　　　　電　　　源</t>
  </si>
  <si>
    <t>電動機</t>
  </si>
  <si>
    <t>極　 数</t>
  </si>
  <si>
    <t>　　　　ポンプ形式</t>
  </si>
  <si>
    <t>吸込口径</t>
  </si>
  <si>
    <t>出　力</t>
  </si>
  <si>
    <t xml:space="preserve">         (相・V・HZ)</t>
  </si>
  <si>
    <t>(極)</t>
  </si>
  <si>
    <t>3相 200V  60Hz</t>
  </si>
  <si>
    <r>
      <t>H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,H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,H</t>
    </r>
    <r>
      <rPr>
        <vertAlign val="subscript"/>
        <sz val="8"/>
        <rFont val="MS UI Gothic"/>
        <family val="3"/>
      </rPr>
      <t>3</t>
    </r>
    <r>
      <rPr>
        <sz val="8"/>
        <rFont val="MS UI Gothic"/>
        <family val="3"/>
      </rPr>
      <t>,H</t>
    </r>
    <r>
      <rPr>
        <vertAlign val="subscript"/>
        <sz val="8"/>
        <rFont val="MS UI Gothic"/>
        <family val="3"/>
      </rPr>
      <t>4</t>
    </r>
  </si>
  <si>
    <r>
      <t>K</t>
    </r>
    <r>
      <rPr>
        <vertAlign val="subscript"/>
        <sz val="8"/>
        <rFont val="MS UI Gothic"/>
        <family val="3"/>
      </rPr>
      <t>2</t>
    </r>
  </si>
  <si>
    <r>
      <t>(mmH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O/m)</t>
    </r>
  </si>
  <si>
    <r>
      <t>(mH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O)</t>
    </r>
  </si>
  <si>
    <r>
      <t>揚水管直管部抵抗　H</t>
    </r>
    <r>
      <rPr>
        <vertAlign val="subscript"/>
        <sz val="8"/>
        <rFont val="MS UI Gothic"/>
        <family val="3"/>
      </rPr>
      <t>1</t>
    </r>
  </si>
  <si>
    <r>
      <t>揚水管局部抵抗　H</t>
    </r>
    <r>
      <rPr>
        <vertAlign val="subscript"/>
        <sz val="8"/>
        <rFont val="MS UI Gothic"/>
        <family val="3"/>
      </rPr>
      <t>2</t>
    </r>
  </si>
  <si>
    <r>
      <t>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=1.0*H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(簡便法）</t>
    </r>
  </si>
  <si>
    <r>
      <t>揚水管出口水頭　H</t>
    </r>
    <r>
      <rPr>
        <vertAlign val="subscript"/>
        <sz val="8"/>
        <rFont val="MS UI Gothic"/>
        <family val="3"/>
      </rPr>
      <t>3</t>
    </r>
  </si>
  <si>
    <r>
      <t>高低差　　H</t>
    </r>
    <r>
      <rPr>
        <vertAlign val="subscript"/>
        <sz val="8"/>
        <rFont val="MS UI Gothic"/>
        <family val="3"/>
      </rPr>
      <t>4</t>
    </r>
  </si>
  <si>
    <t xml:space="preserve">  推奨摩擦</t>
  </si>
  <si>
    <t>等摩擦抵抗法による場合</t>
  </si>
  <si>
    <r>
      <t>mmＨ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Ｏ/m</t>
    </r>
  </si>
  <si>
    <t>有</t>
  </si>
  <si>
    <t>設置場所：</t>
  </si>
  <si>
    <t>無</t>
  </si>
  <si>
    <t>摩擦抵抗一定</t>
  </si>
  <si>
    <t>有</t>
  </si>
  <si>
    <t>イ</t>
  </si>
  <si>
    <t>ロ</t>
  </si>
  <si>
    <t>ハ</t>
  </si>
  <si>
    <t>ニ</t>
  </si>
  <si>
    <t>イ</t>
  </si>
  <si>
    <t>ロ</t>
  </si>
  <si>
    <t>ハ</t>
  </si>
  <si>
    <t>ニ</t>
  </si>
  <si>
    <t>合計</t>
  </si>
  <si>
    <t>同時使用流量          ｌ/min</t>
  </si>
  <si>
    <t>器　　具　　名</t>
  </si>
  <si>
    <t>器具給水　　　　負荷単位</t>
  </si>
  <si>
    <t>区　　　　　　　　　　   　　　　　間</t>
  </si>
  <si>
    <t>階</t>
  </si>
  <si>
    <t>P1</t>
  </si>
  <si>
    <t>：欄に入力</t>
  </si>
  <si>
    <t>器具数</t>
  </si>
  <si>
    <t>負荷 　  単位   　小計</t>
  </si>
  <si>
    <t>負荷  　 単位   　小計</t>
  </si>
  <si>
    <t>負荷     単位    　小計</t>
  </si>
  <si>
    <t>負荷 　  単位  　 小計</t>
  </si>
  <si>
    <t>公衆用</t>
  </si>
  <si>
    <t>私室用</t>
  </si>
  <si>
    <t>大便器（洗浄弁）小計</t>
  </si>
  <si>
    <t>大便器（洗浄弁）累計</t>
  </si>
  <si>
    <t>医療用洗面器(給水栓)</t>
  </si>
  <si>
    <t>洗面流し(水栓１個毎)</t>
  </si>
  <si>
    <t>浴室(大便器:洗浄弁)</t>
  </si>
  <si>
    <t>計</t>
  </si>
  <si>
    <r>
      <t>同時使用流量　Q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 xml:space="preserve"> (l/min)</t>
    </r>
  </si>
  <si>
    <t>給水負荷単位による　　　　　　　　　　　　給水立て管算出用</t>
  </si>
  <si>
    <t>累　　計</t>
  </si>
  <si>
    <t>負  荷　　　単  位</t>
  </si>
  <si>
    <r>
      <t>同時使用流量 Q</t>
    </r>
    <r>
      <rPr>
        <vertAlign val="subscript"/>
        <sz val="8"/>
        <rFont val="MS UI Gothic"/>
        <family val="3"/>
      </rPr>
      <t>1</t>
    </r>
  </si>
  <si>
    <t>瞬時最大流量 qp (l/min)</t>
  </si>
  <si>
    <t>流量小計</t>
  </si>
  <si>
    <t>全 給 水 器 具 数 ［合計］</t>
  </si>
  <si>
    <t>全給水器具数-洗浄弁式大便器数</t>
  </si>
  <si>
    <r>
      <t>同時使用流量　Q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 xml:space="preserve"> (l/min)　　　　　　　　　　［各階系統主管算出用］</t>
    </r>
  </si>
  <si>
    <t>同時使用率 η</t>
  </si>
  <si>
    <r>
      <t>同時使用流量Ｑ</t>
    </r>
    <r>
      <rPr>
        <vertAlign val="subscript"/>
        <sz val="8"/>
        <rFont val="MS UI Gothic"/>
        <family val="3"/>
      </rPr>
      <t>２</t>
    </r>
  </si>
  <si>
    <t>累　　　　 　　　　計</t>
  </si>
  <si>
    <t>全 給 水 器 具 数 ［累計］</t>
  </si>
  <si>
    <t>全給水器具数-洗浄弁式大便器数［累計］</t>
  </si>
  <si>
    <t>給水立て管算出用</t>
  </si>
  <si>
    <t xml:space="preserve"> 注）  給湯栓併用の場合は、1個の水栓に対する器具給水負荷単位は上記の数値の3/4とする。</t>
  </si>
  <si>
    <t>一般器具数</t>
  </si>
  <si>
    <t>同時使用率</t>
  </si>
  <si>
    <t>負 荷 単 位 以外の                     器  　   具 　    名</t>
  </si>
  <si>
    <t>高置タンク以降の給水立て管主管系統図</t>
  </si>
  <si>
    <t>A</t>
  </si>
  <si>
    <t>m</t>
  </si>
  <si>
    <t>階系</t>
  </si>
  <si>
    <t>B</t>
  </si>
  <si>
    <t>C</t>
  </si>
  <si>
    <t>×</t>
  </si>
  <si>
    <t>m</t>
  </si>
  <si>
    <t>代表水栓(1)</t>
  </si>
  <si>
    <t>×</t>
  </si>
  <si>
    <t>D</t>
  </si>
  <si>
    <t>E</t>
  </si>
  <si>
    <t>代表水栓(2)</t>
  </si>
  <si>
    <t>F</t>
  </si>
  <si>
    <t>G</t>
  </si>
  <si>
    <t>H</t>
  </si>
  <si>
    <t>I</t>
  </si>
  <si>
    <t>J</t>
  </si>
  <si>
    <t>K</t>
  </si>
  <si>
    <t>L</t>
  </si>
  <si>
    <t>器具給水負荷　　単位（累計）</t>
  </si>
  <si>
    <r>
      <t>同時使用流量       Ｑ</t>
    </r>
    <r>
      <rPr>
        <vertAlign val="subscript"/>
        <sz val="8"/>
        <rFont val="MS UI Gothic"/>
        <family val="3"/>
      </rPr>
      <t>１</t>
    </r>
    <r>
      <rPr>
        <sz val="8"/>
        <rFont val="MS UI Gothic"/>
        <family val="3"/>
      </rPr>
      <t xml:space="preserve"> ｌ/min</t>
    </r>
  </si>
  <si>
    <r>
      <t>L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(m)</t>
    </r>
  </si>
  <si>
    <r>
      <t>R=1,000(H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-H</t>
    </r>
    <r>
      <rPr>
        <vertAlign val="subscript"/>
        <sz val="8"/>
        <rFont val="MS UI Gothic"/>
        <family val="3"/>
      </rPr>
      <t>2</t>
    </r>
  </si>
  <si>
    <r>
      <t>H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(mH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O)</t>
    </r>
  </si>
  <si>
    <r>
      <t>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(m)</t>
    </r>
  </si>
  <si>
    <r>
      <t>H</t>
    </r>
    <r>
      <rPr>
        <vertAlign val="subscript"/>
        <sz val="8"/>
        <rFont val="MS UI Gothic"/>
        <family val="3"/>
      </rPr>
      <t>3</t>
    </r>
    <r>
      <rPr>
        <sz val="8"/>
        <rFont val="MS UI Gothic"/>
        <family val="3"/>
      </rPr>
      <t>(mH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O)</t>
    </r>
  </si>
  <si>
    <r>
      <t>H</t>
    </r>
    <r>
      <rPr>
        <vertAlign val="subscript"/>
        <sz val="8"/>
        <rFont val="MS UI Gothic"/>
        <family val="3"/>
      </rPr>
      <t>4</t>
    </r>
    <r>
      <rPr>
        <sz val="8"/>
        <rFont val="MS UI Gothic"/>
        <family val="3"/>
      </rPr>
      <t>(mH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O)</t>
    </r>
  </si>
  <si>
    <r>
      <t>L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(m)</t>
    </r>
  </si>
  <si>
    <r>
      <t>L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=0.5 L</t>
    </r>
    <r>
      <rPr>
        <vertAlign val="subscript"/>
        <sz val="8"/>
        <rFont val="MS UI Gothic"/>
        <family val="3"/>
      </rPr>
      <t>1</t>
    </r>
  </si>
  <si>
    <r>
      <t>-H</t>
    </r>
    <r>
      <rPr>
        <vertAlign val="subscript"/>
        <sz val="8"/>
        <rFont val="MS UI Gothic"/>
        <family val="3"/>
      </rPr>
      <t>3</t>
    </r>
    <r>
      <rPr>
        <sz val="8"/>
        <rFont val="MS UI Gothic"/>
        <family val="3"/>
      </rPr>
      <t>-H</t>
    </r>
    <r>
      <rPr>
        <vertAlign val="subscript"/>
        <sz val="8"/>
        <rFont val="MS UI Gothic"/>
        <family val="3"/>
      </rPr>
      <t>4</t>
    </r>
    <r>
      <rPr>
        <sz val="8"/>
        <rFont val="MS UI Gothic"/>
        <family val="3"/>
      </rPr>
      <t>)/(L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+L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)</t>
    </r>
  </si>
  <si>
    <r>
      <t>R(mmH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O/m)</t>
    </r>
  </si>
  <si>
    <t>QH(l/h)</t>
  </si>
  <si>
    <t>Q(l/min)</t>
  </si>
  <si>
    <r>
      <t>(mmH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O/m)</t>
    </r>
  </si>
  <si>
    <t>により決定</t>
  </si>
  <si>
    <t>Q=QH/60</t>
  </si>
  <si>
    <t>Q(l/min)</t>
  </si>
  <si>
    <t>上　　水</t>
  </si>
  <si>
    <r>
      <t>H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(m)</t>
    </r>
  </si>
  <si>
    <r>
      <t>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(mH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O)</t>
    </r>
  </si>
  <si>
    <r>
      <t>L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=1.0 L</t>
    </r>
    <r>
      <rPr>
        <vertAlign val="subscript"/>
        <sz val="8"/>
        <rFont val="MS UI Gothic"/>
        <family val="3"/>
      </rPr>
      <t>1</t>
    </r>
  </si>
  <si>
    <r>
      <t>R(mmH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O/m)</t>
    </r>
  </si>
  <si>
    <r>
      <t>R=1,000・(H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-H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)/(L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+L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)</t>
    </r>
  </si>
  <si>
    <t>備　　　考</t>
  </si>
  <si>
    <r>
      <t>Q=Q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+Q</t>
    </r>
    <r>
      <rPr>
        <vertAlign val="subscript"/>
        <sz val="8"/>
        <rFont val="MS UI Gothic"/>
        <family val="3"/>
      </rPr>
      <t>2</t>
    </r>
  </si>
  <si>
    <r>
      <t>Q</t>
    </r>
    <r>
      <rPr>
        <vertAlign val="subscript"/>
        <sz val="8"/>
        <rFont val="MS UI Gothic"/>
        <family val="3"/>
      </rPr>
      <t>1</t>
    </r>
    <r>
      <rPr>
        <sz val="8"/>
        <rFont val="MS UI Gothic"/>
        <family val="3"/>
      </rPr>
      <t>(l/min)</t>
    </r>
  </si>
  <si>
    <r>
      <t>Q</t>
    </r>
    <r>
      <rPr>
        <vertAlign val="subscript"/>
        <sz val="8"/>
        <rFont val="MS UI Gothic"/>
        <family val="3"/>
      </rPr>
      <t>2</t>
    </r>
    <r>
      <rPr>
        <sz val="8"/>
        <rFont val="MS UI Gothic"/>
        <family val="3"/>
      </rPr>
      <t>(l/min)</t>
    </r>
  </si>
  <si>
    <t>　各階系統主管</t>
  </si>
  <si>
    <t>J-K</t>
  </si>
  <si>
    <t>H-I</t>
  </si>
  <si>
    <t>F-G</t>
  </si>
  <si>
    <t>D-E</t>
  </si>
  <si>
    <t>B-C</t>
  </si>
  <si>
    <t>　給水立て主管</t>
  </si>
  <si>
    <t>L-J</t>
  </si>
  <si>
    <t>J-H</t>
  </si>
  <si>
    <t>H-F</t>
  </si>
  <si>
    <t>F-D</t>
  </si>
  <si>
    <t>D-B</t>
  </si>
  <si>
    <t>B-A</t>
  </si>
  <si>
    <t>高置タンク出口給水管同時使用流量</t>
  </si>
  <si>
    <t>推奨流速</t>
  </si>
  <si>
    <t xml:space="preserve">   配管許容摩擦抵抗が推奨摩擦抵抗以上となるので、推奨摩擦抵抗及び                                          同時使用流量（Ｑ）に基づき各管径を決定する。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</si>
</sst>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6"/>
      <name val="ＭＳ Ｐ明朝"/>
      <family val="1"/>
    </font>
    <font>
      <sz val="10"/>
      <name val="MS UI Gothic"/>
      <family val="3"/>
    </font>
    <font>
      <sz val="9"/>
      <name val="ＭＳ Ｐゴシック"/>
      <family val="3"/>
    </font>
    <font>
      <sz val="8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b/>
      <sz val="17"/>
      <name val="MS UI Gothic"/>
      <family val="3"/>
    </font>
    <font>
      <sz val="12"/>
      <name val="MS UI Gothic"/>
      <family val="3"/>
    </font>
    <font>
      <vertAlign val="superscript"/>
      <sz val="9"/>
      <name val="MS UI Gothic"/>
      <family val="3"/>
    </font>
    <font>
      <b/>
      <sz val="9"/>
      <name val="ＭＳ Ｐゴシック"/>
      <family val="3"/>
    </font>
    <font>
      <sz val="8"/>
      <color indexed="56"/>
      <name val="MS UI Gothic"/>
      <family val="3"/>
    </font>
    <font>
      <vertAlign val="subscript"/>
      <sz val="8"/>
      <name val="MS UI Gothic"/>
      <family val="3"/>
    </font>
    <font>
      <sz val="6"/>
      <name val="MS UI Gothic"/>
      <family val="3"/>
    </font>
    <font>
      <vertAlign val="superscript"/>
      <sz val="8"/>
      <name val="MS UI Gothic"/>
      <family val="3"/>
    </font>
    <font>
      <sz val="8"/>
      <color indexed="12"/>
      <name val="MS UI Gothic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6"/>
      <color indexed="12"/>
      <name val="MS UI Gothic"/>
      <family val="3"/>
    </font>
    <font>
      <sz val="8"/>
      <color indexed="10"/>
      <name val="MS UI Gothic"/>
      <family val="3"/>
    </font>
    <font>
      <b/>
      <sz val="8"/>
      <color indexed="10"/>
      <name val="MS UI Gothic"/>
      <family val="3"/>
    </font>
    <font>
      <sz val="8"/>
      <color indexed="48"/>
      <name val="MS UI Gothic"/>
      <family val="3"/>
    </font>
    <font>
      <sz val="8"/>
      <color indexed="58"/>
      <name val="MS UI Gothic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ashed"/>
      <bottom style="thin"/>
    </border>
    <border>
      <left style="thin"/>
      <right style="thin"/>
      <top style="dashed"/>
      <bottom style="dotted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dotted"/>
      <bottom style="medium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ashed"/>
      <right style="thin"/>
      <top>
        <color indexed="63"/>
      </top>
      <bottom style="double"/>
    </border>
    <border>
      <left style="dashed"/>
      <right style="medium"/>
      <top>
        <color indexed="63"/>
      </top>
      <bottom style="double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thin"/>
      <top style="double"/>
      <bottom style="thin"/>
    </border>
    <border>
      <left style="dashed"/>
      <right style="medium"/>
      <top style="double"/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ashed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ashed"/>
      <top style="thin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2" borderId="9" xfId="0" applyNumberFormat="1" applyFont="1" applyFill="1" applyBorder="1" applyAlignment="1" applyProtection="1">
      <alignment vertical="center"/>
      <protection locked="0"/>
    </xf>
    <xf numFmtId="0" fontId="7" fillId="3" borderId="10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vertical="center"/>
      <protection locked="0"/>
    </xf>
    <xf numFmtId="0" fontId="2" fillId="2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2" fillId="4" borderId="1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4" fillId="0" borderId="0" xfId="16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4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2" fillId="0" borderId="24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7" fillId="3" borderId="0" xfId="16" applyNumberFormat="1" applyFont="1" applyFill="1" applyAlignment="1" applyProtection="1">
      <alignment vertical="center"/>
      <protection/>
    </xf>
    <xf numFmtId="0" fontId="7" fillId="3" borderId="0" xfId="0" applyNumberFormat="1" applyFont="1" applyFill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 applyProtection="1">
      <alignment vertical="center"/>
      <protection/>
    </xf>
    <xf numFmtId="0" fontId="6" fillId="0" borderId="28" xfId="0" applyNumberFormat="1" applyFont="1" applyBorder="1" applyAlignment="1" applyProtection="1">
      <alignment vertical="center"/>
      <protection/>
    </xf>
    <xf numFmtId="0" fontId="6" fillId="0" borderId="25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29" xfId="0" applyNumberFormat="1" applyFont="1" applyBorder="1" applyAlignment="1" applyProtection="1">
      <alignment horizontal="center" vertical="center"/>
      <protection/>
    </xf>
    <xf numFmtId="0" fontId="6" fillId="0" borderId="3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Border="1" applyAlignment="1" applyProtection="1">
      <alignment horizontal="center" vertical="top"/>
      <protection/>
    </xf>
    <xf numFmtId="0" fontId="6" fillId="0" borderId="25" xfId="0" applyNumberFormat="1" applyFont="1" applyBorder="1" applyAlignment="1" applyProtection="1" quotePrefix="1">
      <alignment horizontal="center" vertical="top" wrapText="1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1" xfId="0" applyNumberFormat="1" applyFont="1" applyBorder="1" applyAlignment="1" applyProtection="1">
      <alignment vertical="center"/>
      <protection/>
    </xf>
    <xf numFmtId="0" fontId="6" fillId="0" borderId="32" xfId="0" applyNumberFormat="1" applyFont="1" applyBorder="1" applyAlignment="1" applyProtection="1">
      <alignment vertical="center"/>
      <protection/>
    </xf>
    <xf numFmtId="0" fontId="6" fillId="0" borderId="29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14" xfId="0" applyNumberFormat="1" applyFont="1" applyBorder="1" applyAlignment="1" applyProtection="1">
      <alignment vertical="center"/>
      <protection/>
    </xf>
    <xf numFmtId="0" fontId="6" fillId="0" borderId="15" xfId="0" applyNumberFormat="1" applyFont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 applyProtection="1">
      <alignment vertical="center"/>
      <protection/>
    </xf>
    <xf numFmtId="0" fontId="6" fillId="0" borderId="39" xfId="0" applyNumberFormat="1" applyFont="1" applyBorder="1" applyAlignment="1" applyProtection="1">
      <alignment vertical="center"/>
      <protection/>
    </xf>
    <xf numFmtId="0" fontId="6" fillId="0" borderId="40" xfId="0" applyNumberFormat="1" applyFont="1" applyBorder="1" applyAlignment="1" applyProtection="1">
      <alignment vertical="center"/>
      <protection/>
    </xf>
    <xf numFmtId="0" fontId="6" fillId="0" borderId="41" xfId="0" applyNumberFormat="1" applyFont="1" applyBorder="1" applyAlignment="1" applyProtection="1">
      <alignment vertical="center"/>
      <protection/>
    </xf>
    <xf numFmtId="0" fontId="6" fillId="0" borderId="27" xfId="0" applyNumberFormat="1" applyFont="1" applyBorder="1" applyAlignment="1" applyProtection="1">
      <alignment horizontal="right" vertical="center"/>
      <protection/>
    </xf>
    <xf numFmtId="0" fontId="6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42" xfId="0" applyNumberFormat="1" applyFont="1" applyBorder="1" applyAlignment="1" applyProtection="1">
      <alignment vertical="center"/>
      <protection/>
    </xf>
    <xf numFmtId="0" fontId="6" fillId="0" borderId="27" xfId="0" applyNumberFormat="1" applyFont="1" applyFill="1" applyBorder="1" applyAlignment="1" applyProtection="1">
      <alignment horizontal="right" vertical="center"/>
      <protection/>
    </xf>
    <xf numFmtId="0" fontId="6" fillId="0" borderId="28" xfId="0" applyNumberFormat="1" applyFont="1" applyFill="1" applyBorder="1" applyAlignment="1" applyProtection="1">
      <alignment horizontal="right" vertical="center"/>
      <protection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28" xfId="0" applyNumberFormat="1" applyFont="1" applyBorder="1" applyAlignment="1" applyProtection="1">
      <alignment horizontal="center" vertical="center"/>
      <protection/>
    </xf>
    <xf numFmtId="0" fontId="6" fillId="0" borderId="28" xfId="0" applyNumberFormat="1" applyFont="1" applyBorder="1" applyAlignment="1" applyProtection="1">
      <alignment horizontal="right" vertical="center"/>
      <protection/>
    </xf>
    <xf numFmtId="0" fontId="6" fillId="2" borderId="28" xfId="0" applyNumberFormat="1" applyFont="1" applyFill="1" applyBorder="1" applyAlignment="1" applyProtection="1">
      <alignment vertical="center"/>
      <protection locked="0"/>
    </xf>
    <xf numFmtId="0" fontId="6" fillId="0" borderId="43" xfId="0" applyNumberFormat="1" applyFont="1" applyBorder="1" applyAlignment="1" applyProtection="1">
      <alignment vertical="center"/>
      <protection/>
    </xf>
    <xf numFmtId="0" fontId="6" fillId="0" borderId="43" xfId="0" applyNumberFormat="1" applyFont="1" applyBorder="1" applyAlignment="1" applyProtection="1" quotePrefix="1">
      <alignment vertical="center"/>
      <protection/>
    </xf>
    <xf numFmtId="0" fontId="6" fillId="0" borderId="30" xfId="0" applyNumberFormat="1" applyFont="1" applyBorder="1" applyAlignment="1" applyProtection="1">
      <alignment vertical="center"/>
      <protection/>
    </xf>
    <xf numFmtId="0" fontId="6" fillId="0" borderId="44" xfId="0" applyNumberFormat="1" applyFont="1" applyBorder="1" applyAlignment="1" applyProtection="1">
      <alignment vertical="center"/>
      <protection/>
    </xf>
    <xf numFmtId="0" fontId="6" fillId="0" borderId="45" xfId="0" applyNumberFormat="1" applyFont="1" applyBorder="1" applyAlignment="1" applyProtection="1">
      <alignment vertical="center"/>
      <protection/>
    </xf>
    <xf numFmtId="0" fontId="6" fillId="0" borderId="34" xfId="0" applyNumberFormat="1" applyFont="1" applyBorder="1" applyAlignment="1" applyProtection="1">
      <alignment horizontal="left" vertical="center"/>
      <protection/>
    </xf>
    <xf numFmtId="0" fontId="17" fillId="0" borderId="46" xfId="0" applyNumberFormat="1" applyFont="1" applyBorder="1" applyAlignment="1" applyProtection="1">
      <alignment vertical="center"/>
      <protection/>
    </xf>
    <xf numFmtId="0" fontId="6" fillId="0" borderId="27" xfId="0" applyNumberFormat="1" applyFont="1" applyBorder="1" applyAlignment="1" applyProtection="1">
      <alignment horizontal="left" vertical="center"/>
      <protection/>
    </xf>
    <xf numFmtId="0" fontId="17" fillId="0" borderId="42" xfId="0" applyNumberFormat="1" applyFont="1" applyBorder="1" applyAlignment="1" applyProtection="1">
      <alignment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center" vertical="center" wrapText="1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0" xfId="16" applyNumberFormat="1" applyFont="1" applyFill="1" applyBorder="1" applyAlignment="1" applyProtection="1">
      <alignment horizontal="right" vertical="center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0" fontId="6" fillId="4" borderId="10" xfId="0" applyNumberFormat="1" applyFont="1" applyFill="1" applyBorder="1" applyAlignment="1" applyProtection="1">
      <alignment vertical="center"/>
      <protection/>
    </xf>
    <xf numFmtId="0" fontId="6" fillId="3" borderId="0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55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2" borderId="59" xfId="0" applyNumberFormat="1" applyFont="1" applyFill="1" applyBorder="1" applyAlignment="1" applyProtection="1">
      <alignment horizontal="center" vertical="center"/>
      <protection locked="0"/>
    </xf>
    <xf numFmtId="0" fontId="6" fillId="2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0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61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2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 locked="0"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 locked="0"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vertical="center"/>
      <protection/>
    </xf>
    <xf numFmtId="0" fontId="6" fillId="0" borderId="56" xfId="0" applyNumberFormat="1" applyFont="1" applyFill="1" applyBorder="1" applyAlignment="1" applyProtection="1">
      <alignment vertical="center"/>
      <protection/>
    </xf>
    <xf numFmtId="0" fontId="17" fillId="0" borderId="5" xfId="16" applyNumberFormat="1" applyFont="1" applyFill="1" applyBorder="1" applyAlignment="1" applyProtection="1">
      <alignment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 locked="0"/>
    </xf>
    <xf numFmtId="0" fontId="6" fillId="4" borderId="36" xfId="0" applyNumberFormat="1" applyFont="1" applyFill="1" applyBorder="1" applyAlignment="1" applyProtection="1">
      <alignment horizontal="center" vertical="center"/>
      <protection locked="0"/>
    </xf>
    <xf numFmtId="0" fontId="6" fillId="4" borderId="61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65" xfId="0" applyNumberFormat="1" applyFont="1" applyBorder="1" applyAlignment="1" applyProtection="1">
      <alignment horizontal="center" vertical="center"/>
      <protection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62" xfId="16" applyNumberFormat="1" applyFont="1" applyFill="1" applyBorder="1" applyAlignment="1" applyProtection="1">
      <alignment horizontal="center" vertical="center"/>
      <protection/>
    </xf>
    <xf numFmtId="0" fontId="6" fillId="0" borderId="67" xfId="16" applyNumberFormat="1" applyFont="1" applyFill="1" applyBorder="1" applyAlignment="1" applyProtection="1">
      <alignment horizontal="center" vertical="center"/>
      <protection/>
    </xf>
    <xf numFmtId="0" fontId="6" fillId="0" borderId="68" xfId="0" applyNumberFormat="1" applyFont="1" applyFill="1" applyBorder="1" applyAlignment="1" applyProtection="1">
      <alignment horizontal="center" vertical="center"/>
      <protection/>
    </xf>
    <xf numFmtId="0" fontId="6" fillId="0" borderId="63" xfId="16" applyNumberFormat="1" applyFont="1" applyFill="1" applyBorder="1" applyAlignment="1" applyProtection="1">
      <alignment horizontal="center" vertical="center"/>
      <protection/>
    </xf>
    <xf numFmtId="0" fontId="6" fillId="0" borderId="64" xfId="16" applyNumberFormat="1" applyFont="1" applyFill="1" applyBorder="1" applyAlignment="1" applyProtection="1">
      <alignment horizontal="center" vertical="center"/>
      <protection/>
    </xf>
    <xf numFmtId="0" fontId="6" fillId="0" borderId="69" xfId="16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17" fillId="0" borderId="5" xfId="16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16" applyNumberFormat="1" applyFont="1" applyBorder="1" applyAlignment="1" applyProtection="1">
      <alignment horizontal="center" vertical="center"/>
      <protection/>
    </xf>
    <xf numFmtId="0" fontId="6" fillId="0" borderId="30" xfId="16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5" xfId="16" applyNumberFormat="1" applyFont="1" applyFill="1" applyBorder="1" applyAlignment="1" applyProtection="1">
      <alignment horizontal="center" vertical="center"/>
      <protection/>
    </xf>
    <xf numFmtId="0" fontId="6" fillId="0" borderId="46" xfId="16" applyNumberFormat="1" applyFont="1" applyFill="1" applyBorder="1" applyAlignment="1" applyProtection="1">
      <alignment horizontal="center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36" xfId="16" applyNumberFormat="1" applyFont="1" applyFill="1" applyBorder="1" applyAlignment="1" applyProtection="1">
      <alignment horizontal="center" vertical="center"/>
      <protection/>
    </xf>
    <xf numFmtId="0" fontId="6" fillId="0" borderId="42" xfId="16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6" fillId="0" borderId="61" xfId="0" applyNumberFormat="1" applyFont="1" applyBorder="1" applyAlignment="1" applyProtection="1">
      <alignment horizontal="center" vertical="center"/>
      <protection/>
    </xf>
    <xf numFmtId="0" fontId="6" fillId="0" borderId="45" xfId="0" applyNumberFormat="1" applyFont="1" applyBorder="1" applyAlignment="1" applyProtection="1">
      <alignment horizontal="center" vertical="center"/>
      <protection/>
    </xf>
    <xf numFmtId="0" fontId="6" fillId="0" borderId="65" xfId="16" applyNumberFormat="1" applyFont="1" applyBorder="1" applyAlignment="1" applyProtection="1">
      <alignment horizontal="center" vertical="center"/>
      <protection/>
    </xf>
    <xf numFmtId="0" fontId="6" fillId="0" borderId="71" xfId="16" applyNumberFormat="1" applyFont="1" applyBorder="1" applyAlignment="1" applyProtection="1">
      <alignment horizontal="center" vertical="center"/>
      <protection/>
    </xf>
    <xf numFmtId="0" fontId="17" fillId="0" borderId="35" xfId="16" applyNumberFormat="1" applyFont="1" applyBorder="1" applyAlignment="1" applyProtection="1">
      <alignment horizontal="center" vertical="center"/>
      <protection/>
    </xf>
    <xf numFmtId="0" fontId="17" fillId="0" borderId="36" xfId="16" applyNumberFormat="1" applyFont="1" applyBorder="1" applyAlignment="1" applyProtection="1">
      <alignment horizontal="center" vertical="center"/>
      <protection/>
    </xf>
    <xf numFmtId="0" fontId="17" fillId="0" borderId="35" xfId="0" applyNumberFormat="1" applyFont="1" applyBorder="1" applyAlignment="1" applyProtection="1">
      <alignment horizontal="center" vertical="center"/>
      <protection/>
    </xf>
    <xf numFmtId="0" fontId="6" fillId="0" borderId="72" xfId="0" applyNumberFormat="1" applyFont="1" applyBorder="1" applyAlignment="1" applyProtection="1">
      <alignment horizontal="center" vertical="center"/>
      <protection/>
    </xf>
    <xf numFmtId="0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/>
    </xf>
    <xf numFmtId="0" fontId="6" fillId="0" borderId="39" xfId="0" applyNumberFormat="1" applyFont="1" applyBorder="1" applyAlignment="1" applyProtection="1">
      <alignment horizontal="center" vertical="center"/>
      <protection/>
    </xf>
    <xf numFmtId="0" fontId="6" fillId="0" borderId="73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74" xfId="0" applyNumberFormat="1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17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right" vertical="center"/>
    </xf>
    <xf numFmtId="0" fontId="6" fillId="0" borderId="48" xfId="0" applyFont="1" applyBorder="1" applyAlignment="1">
      <alignment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2" borderId="75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2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21" fillId="0" borderId="77" xfId="0" applyNumberFormat="1" applyFont="1" applyFill="1" applyBorder="1" applyAlignment="1" applyProtection="1">
      <alignment horizontal="center" vertical="center"/>
      <protection/>
    </xf>
    <xf numFmtId="0" fontId="21" fillId="0" borderId="78" xfId="0" applyNumberFormat="1" applyFont="1" applyFill="1" applyBorder="1" applyAlignment="1" applyProtection="1">
      <alignment horizontal="center" vertical="center"/>
      <protection/>
    </xf>
    <xf numFmtId="0" fontId="21" fillId="0" borderId="79" xfId="0" applyNumberFormat="1" applyFont="1" applyFill="1" applyBorder="1" applyAlignment="1" applyProtection="1">
      <alignment horizontal="center" vertical="center"/>
      <protection/>
    </xf>
    <xf numFmtId="0" fontId="21" fillId="0" borderId="80" xfId="0" applyNumberFormat="1" applyFont="1" applyFill="1" applyBorder="1" applyAlignment="1" applyProtection="1">
      <alignment horizontal="center" vertical="center"/>
      <protection/>
    </xf>
    <xf numFmtId="0" fontId="21" fillId="0" borderId="81" xfId="0" applyNumberFormat="1" applyFont="1" applyFill="1" applyBorder="1" applyAlignment="1" applyProtection="1">
      <alignment horizontal="center" vertical="center"/>
      <protection/>
    </xf>
    <xf numFmtId="0" fontId="21" fillId="0" borderId="82" xfId="0" applyNumberFormat="1" applyFont="1" applyFill="1" applyBorder="1" applyAlignment="1" applyProtection="1">
      <alignment horizontal="center" vertical="center"/>
      <protection/>
    </xf>
    <xf numFmtId="0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77" xfId="0" applyNumberFormat="1" applyFont="1" applyFill="1" applyBorder="1" applyAlignment="1" applyProtection="1">
      <alignment horizontal="center" vertical="center"/>
      <protection/>
    </xf>
    <xf numFmtId="0" fontId="24" fillId="0" borderId="78" xfId="0" applyNumberFormat="1" applyFont="1" applyFill="1" applyBorder="1" applyAlignment="1" applyProtection="1">
      <alignment horizontal="center" vertical="center"/>
      <protection/>
    </xf>
    <xf numFmtId="0" fontId="21" fillId="0" borderId="58" xfId="0" applyNumberFormat="1" applyFont="1" applyFill="1" applyBorder="1" applyAlignment="1" applyProtection="1">
      <alignment horizontal="center" vertical="center"/>
      <protection/>
    </xf>
    <xf numFmtId="0" fontId="21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8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24" fillId="0" borderId="85" xfId="0" applyNumberFormat="1" applyFont="1" applyFill="1" applyBorder="1" applyAlignment="1" applyProtection="1">
      <alignment horizontal="center" vertical="center"/>
      <protection/>
    </xf>
    <xf numFmtId="0" fontId="24" fillId="0" borderId="86" xfId="0" applyNumberFormat="1" applyFont="1" applyFill="1" applyBorder="1" applyAlignment="1" applyProtection="1">
      <alignment horizontal="center" vertical="center"/>
      <protection/>
    </xf>
    <xf numFmtId="0" fontId="21" fillId="0" borderId="87" xfId="0" applyNumberFormat="1" applyFont="1" applyFill="1" applyBorder="1" applyAlignment="1" applyProtection="1">
      <alignment horizontal="center" vertical="center"/>
      <protection/>
    </xf>
    <xf numFmtId="0" fontId="6" fillId="0" borderId="88" xfId="0" applyNumberFormat="1" applyFont="1" applyFill="1" applyBorder="1" applyAlignment="1" applyProtection="1">
      <alignment horizontal="center" vertical="center" wrapText="1"/>
      <protection/>
    </xf>
    <xf numFmtId="0" fontId="6" fillId="0" borderId="89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textRotation="90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5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vertical="center" textRotation="90"/>
      <protection locked="0"/>
    </xf>
    <xf numFmtId="0" fontId="6" fillId="0" borderId="5" xfId="0" applyNumberFormat="1" applyFont="1" applyFill="1" applyBorder="1" applyAlignment="1" applyProtection="1">
      <alignment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 textRotation="90"/>
      <protection locked="0"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5" xfId="16" applyNumberFormat="1" applyFont="1" applyFill="1" applyBorder="1" applyAlignment="1" applyProtection="1">
      <alignment vertical="center"/>
      <protection/>
    </xf>
    <xf numFmtId="0" fontId="6" fillId="0" borderId="9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vertical="center"/>
      <protection/>
    </xf>
    <xf numFmtId="0" fontId="6" fillId="0" borderId="6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8" xfId="16" applyNumberFormat="1" applyFont="1" applyFill="1" applyBorder="1" applyAlignment="1" applyProtection="1">
      <alignment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4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4" borderId="66" xfId="0" applyNumberFormat="1" applyFont="1" applyFill="1" applyBorder="1" applyAlignment="1" applyProtection="1">
      <alignment horizontal="center" vertical="center"/>
      <protection locked="0"/>
    </xf>
    <xf numFmtId="0" fontId="6" fillId="0" borderId="91" xfId="0" applyNumberFormat="1" applyFont="1" applyBorder="1" applyAlignment="1" applyProtection="1">
      <alignment horizontal="center" vertical="center"/>
      <protection/>
    </xf>
    <xf numFmtId="0" fontId="6" fillId="0" borderId="92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61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72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5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91" xfId="16" applyNumberFormat="1" applyFont="1" applyFill="1" applyBorder="1" applyAlignment="1" applyProtection="1">
      <alignment horizontal="center" vertical="center"/>
      <protection/>
    </xf>
    <xf numFmtId="0" fontId="6" fillId="0" borderId="57" xfId="16" applyNumberFormat="1" applyFont="1" applyFill="1" applyBorder="1" applyAlignment="1" applyProtection="1">
      <alignment horizontal="center" vertical="center"/>
      <protection/>
    </xf>
    <xf numFmtId="0" fontId="6" fillId="0" borderId="93" xfId="16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Border="1" applyAlignment="1" applyProtection="1">
      <alignment vertical="center"/>
      <protection/>
    </xf>
    <xf numFmtId="0" fontId="7" fillId="0" borderId="13" xfId="0" applyNumberFormat="1" applyFont="1" applyBorder="1" applyAlignment="1" applyProtection="1">
      <alignment horizontal="center" vertical="center" textRotation="255"/>
      <protection/>
    </xf>
    <xf numFmtId="0" fontId="6" fillId="0" borderId="25" xfId="0" applyNumberFormat="1" applyFont="1" applyBorder="1" applyAlignment="1" applyProtection="1" quotePrefix="1">
      <alignment horizontal="left" vertical="top" wrapText="1"/>
      <protection/>
    </xf>
    <xf numFmtId="0" fontId="6" fillId="0" borderId="25" xfId="0" applyNumberFormat="1" applyFont="1" applyBorder="1" applyAlignment="1" applyProtection="1">
      <alignment horizontal="left" vertical="top" wrapText="1"/>
      <protection/>
    </xf>
    <xf numFmtId="0" fontId="6" fillId="0" borderId="29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34" xfId="0" applyNumberFormat="1" applyFont="1" applyFill="1" applyBorder="1" applyAlignment="1" applyProtection="1">
      <alignment vertical="center" wrapText="1"/>
      <protection locked="0"/>
    </xf>
    <xf numFmtId="0" fontId="6" fillId="0" borderId="38" xfId="0" applyNumberFormat="1" applyFont="1" applyFill="1" applyBorder="1" applyAlignment="1" applyProtection="1">
      <alignment vertical="center" wrapText="1"/>
      <protection locked="0"/>
    </xf>
    <xf numFmtId="0" fontId="6" fillId="0" borderId="27" xfId="0" applyNumberFormat="1" applyFont="1" applyFill="1" applyBorder="1" applyAlignment="1" applyProtection="1">
      <alignment vertical="center"/>
      <protection locked="0"/>
    </xf>
    <xf numFmtId="0" fontId="6" fillId="0" borderId="28" xfId="0" applyNumberFormat="1" applyFont="1" applyFill="1" applyBorder="1" applyAlignment="1" applyProtection="1">
      <alignment vertical="center"/>
      <protection locked="0"/>
    </xf>
    <xf numFmtId="0" fontId="6" fillId="2" borderId="34" xfId="0" applyNumberFormat="1" applyFont="1" applyFill="1" applyBorder="1" applyAlignment="1" applyProtection="1">
      <alignment vertical="center"/>
      <protection locked="0"/>
    </xf>
    <xf numFmtId="0" fontId="6" fillId="2" borderId="38" xfId="0" applyNumberFormat="1" applyFont="1" applyFill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4" fillId="0" borderId="94" xfId="0" applyNumberFormat="1" applyFont="1" applyBorder="1" applyAlignment="1" applyProtection="1">
      <alignment horizontal="center" vertical="center"/>
      <protection/>
    </xf>
    <xf numFmtId="0" fontId="4" fillId="0" borderId="95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31" xfId="0" applyNumberFormat="1" applyFont="1" applyBorder="1" applyAlignment="1" applyProtection="1">
      <alignment vertical="center"/>
      <protection/>
    </xf>
    <xf numFmtId="0" fontId="6" fillId="0" borderId="32" xfId="0" applyNumberFormat="1" applyFont="1" applyBorder="1" applyAlignment="1" applyProtection="1">
      <alignment vertical="center"/>
      <protection/>
    </xf>
    <xf numFmtId="0" fontId="7" fillId="0" borderId="96" xfId="0" applyNumberFormat="1" applyFont="1" applyBorder="1" applyAlignment="1" applyProtection="1">
      <alignment horizontal="center" vertical="center" textRotation="255"/>
      <protection/>
    </xf>
    <xf numFmtId="0" fontId="7" fillId="0" borderId="4" xfId="0" applyNumberFormat="1" applyFont="1" applyBorder="1" applyAlignment="1" applyProtection="1">
      <alignment horizontal="center" vertical="center" textRotation="255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26" xfId="0" applyNumberFormat="1" applyFont="1" applyBorder="1" applyAlignment="1" applyProtection="1">
      <alignment horizontal="center" vertical="center"/>
      <protection/>
    </xf>
    <xf numFmtId="0" fontId="6" fillId="0" borderId="55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vertical="center"/>
      <protection locked="0"/>
    </xf>
    <xf numFmtId="0" fontId="6" fillId="0" borderId="43" xfId="0" applyNumberFormat="1" applyFont="1" applyFill="1" applyBorder="1" applyAlignment="1" applyProtection="1">
      <alignment vertical="center"/>
      <protection locked="0"/>
    </xf>
    <xf numFmtId="0" fontId="7" fillId="0" borderId="97" xfId="0" applyNumberFormat="1" applyFont="1" applyBorder="1" applyAlignment="1" applyProtection="1">
      <alignment vertical="center" textRotation="255"/>
      <protection/>
    </xf>
    <xf numFmtId="0" fontId="7" fillId="0" borderId="98" xfId="0" applyNumberFormat="1" applyFont="1" applyBorder="1" applyAlignment="1" applyProtection="1">
      <alignment horizontal="center" vertical="center" textRotation="255"/>
      <protection/>
    </xf>
    <xf numFmtId="0" fontId="7" fillId="0" borderId="99" xfId="0" applyNumberFormat="1" applyFont="1" applyBorder="1" applyAlignment="1" applyProtection="1">
      <alignment horizontal="center" vertical="center" textRotation="255"/>
      <protection/>
    </xf>
    <xf numFmtId="0" fontId="7" fillId="0" borderId="97" xfId="0" applyNumberFormat="1" applyFont="1" applyBorder="1" applyAlignment="1" applyProtection="1">
      <alignment horizontal="center" vertical="center" textRotation="255"/>
      <protection/>
    </xf>
    <xf numFmtId="0" fontId="6" fillId="0" borderId="29" xfId="0" applyNumberFormat="1" applyFont="1" applyBorder="1" applyAlignment="1" applyProtection="1">
      <alignment horizontal="center" vertical="center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00" xfId="0" applyNumberFormat="1" applyFont="1" applyBorder="1" applyAlignment="1" applyProtection="1">
      <alignment horizontal="center" vertical="center"/>
      <protection/>
    </xf>
    <xf numFmtId="0" fontId="6" fillId="0" borderId="101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6" fillId="0" borderId="102" xfId="0" applyNumberFormat="1" applyFont="1" applyBorder="1" applyAlignment="1" applyProtection="1">
      <alignment horizontal="center" vertical="center"/>
      <protection/>
    </xf>
    <xf numFmtId="0" fontId="6" fillId="0" borderId="103" xfId="0" applyNumberFormat="1" applyFont="1" applyBorder="1" applyAlignment="1" applyProtection="1">
      <alignment horizontal="center" vertical="center"/>
      <protection/>
    </xf>
    <xf numFmtId="0" fontId="6" fillId="0" borderId="104" xfId="0" applyNumberFormat="1" applyFont="1" applyBorder="1" applyAlignment="1" applyProtection="1">
      <alignment horizontal="center"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0" fontId="7" fillId="0" borderId="98" xfId="0" applyNumberFormat="1" applyFont="1" applyBorder="1" applyAlignment="1" applyProtection="1">
      <alignment vertical="center" textRotation="255"/>
      <protection/>
    </xf>
    <xf numFmtId="0" fontId="7" fillId="0" borderId="99" xfId="0" applyNumberFormat="1" applyFont="1" applyBorder="1" applyAlignment="1" applyProtection="1">
      <alignment vertical="center" textRotation="255"/>
      <protection/>
    </xf>
    <xf numFmtId="0" fontId="7" fillId="0" borderId="105" xfId="0" applyNumberFormat="1" applyFont="1" applyBorder="1" applyAlignment="1" applyProtection="1">
      <alignment vertical="center" textRotation="255"/>
      <protection/>
    </xf>
    <xf numFmtId="0" fontId="6" fillId="0" borderId="60" xfId="0" applyNumberFormat="1" applyFont="1" applyBorder="1" applyAlignment="1" applyProtection="1">
      <alignment horizontal="center" vertical="center" wrapText="1"/>
      <protection/>
    </xf>
    <xf numFmtId="0" fontId="6" fillId="0" borderId="57" xfId="0" applyNumberFormat="1" applyFont="1" applyBorder="1" applyAlignment="1" applyProtection="1">
      <alignment horizontal="center" vertical="center" wrapText="1"/>
      <protection/>
    </xf>
    <xf numFmtId="0" fontId="6" fillId="0" borderId="106" xfId="0" applyNumberFormat="1" applyFont="1" applyBorder="1" applyAlignment="1" applyProtection="1">
      <alignment horizontal="center" vertical="center"/>
      <protection/>
    </xf>
    <xf numFmtId="0" fontId="6" fillId="0" borderId="107" xfId="0" applyNumberFormat="1" applyFont="1" applyBorder="1" applyAlignment="1" applyProtection="1">
      <alignment horizontal="center" vertical="center"/>
      <protection/>
    </xf>
    <xf numFmtId="0" fontId="6" fillId="0" borderId="108" xfId="0" applyNumberFormat="1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30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 applyProtection="1">
      <alignment horizontal="center" vertical="center" wrapText="1"/>
      <protection/>
    </xf>
    <xf numFmtId="0" fontId="6" fillId="0" borderId="5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6" fillId="0" borderId="30" xfId="0" applyNumberFormat="1" applyFont="1" applyBorder="1" applyAlignment="1" applyProtection="1">
      <alignment horizontal="center" vertical="center"/>
      <protection/>
    </xf>
    <xf numFmtId="0" fontId="6" fillId="0" borderId="28" xfId="0" applyNumberFormat="1" applyFont="1" applyBorder="1" applyAlignment="1" applyProtection="1">
      <alignment vertical="center"/>
      <protection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109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/>
    </xf>
    <xf numFmtId="0" fontId="17" fillId="0" borderId="102" xfId="0" applyNumberFormat="1" applyFont="1" applyBorder="1" applyAlignment="1" applyProtection="1">
      <alignment horizontal="center" vertical="center"/>
      <protection/>
    </xf>
    <xf numFmtId="0" fontId="17" fillId="0" borderId="103" xfId="0" applyNumberFormat="1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top" wrapText="1"/>
      <protection/>
    </xf>
    <xf numFmtId="0" fontId="6" fillId="0" borderId="34" xfId="0" applyNumberFormat="1" applyFont="1" applyBorder="1" applyAlignment="1" applyProtection="1">
      <alignment vertical="center"/>
      <protection/>
    </xf>
    <xf numFmtId="0" fontId="6" fillId="0" borderId="66" xfId="0" applyNumberFormat="1" applyFont="1" applyBorder="1" applyAlignment="1" applyProtection="1">
      <alignment vertical="center"/>
      <protection/>
    </xf>
    <xf numFmtId="0" fontId="6" fillId="0" borderId="27" xfId="0" applyNumberFormat="1" applyFont="1" applyBorder="1" applyAlignment="1" applyProtection="1">
      <alignment horizontal="right" vertical="center"/>
      <protection/>
    </xf>
    <xf numFmtId="0" fontId="6" fillId="0" borderId="28" xfId="0" applyNumberFormat="1" applyFont="1" applyBorder="1" applyAlignment="1" applyProtection="1">
      <alignment horizontal="right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2" borderId="34" xfId="0" applyNumberFormat="1" applyFont="1" applyFill="1" applyBorder="1" applyAlignment="1" applyProtection="1">
      <alignment horizontal="center" vertical="center"/>
      <protection locked="0"/>
    </xf>
    <xf numFmtId="0" fontId="6" fillId="2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6" fillId="0" borderId="45" xfId="0" applyNumberFormat="1" applyFont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 locked="0"/>
    </xf>
    <xf numFmtId="0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105" xfId="0" applyNumberFormat="1" applyFont="1" applyBorder="1" applyAlignment="1" applyProtection="1">
      <alignment horizontal="center" vertical="center" textRotation="255"/>
      <protection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30" xfId="0" applyNumberFormat="1" applyFont="1" applyBorder="1" applyAlignment="1" applyProtection="1" quotePrefix="1">
      <alignment horizontal="center" vertical="center" wrapText="1"/>
      <protection/>
    </xf>
    <xf numFmtId="0" fontId="6" fillId="0" borderId="25" xfId="0" applyNumberFormat="1" applyFont="1" applyBorder="1" applyAlignment="1" applyProtection="1" quotePrefix="1">
      <alignment horizontal="center" vertical="center" wrapText="1"/>
      <protection/>
    </xf>
    <xf numFmtId="0" fontId="6" fillId="0" borderId="110" xfId="0" applyNumberFormat="1" applyFont="1" applyBorder="1" applyAlignment="1" applyProtection="1">
      <alignment horizontal="center" vertical="center"/>
      <protection locked="0"/>
    </xf>
    <xf numFmtId="0" fontId="6" fillId="0" borderId="111" xfId="0" applyNumberFormat="1" applyFont="1" applyBorder="1" applyAlignment="1" applyProtection="1">
      <alignment horizontal="center" vertical="center"/>
      <protection locked="0"/>
    </xf>
    <xf numFmtId="0" fontId="6" fillId="0" borderId="112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13" xfId="0" applyNumberFormat="1" applyFont="1" applyBorder="1" applyAlignment="1" applyProtection="1">
      <alignment horizontal="center" vertical="center"/>
      <protection locked="0"/>
    </xf>
    <xf numFmtId="0" fontId="6" fillId="0" borderId="90" xfId="0" applyNumberFormat="1" applyFont="1" applyBorder="1" applyAlignment="1" applyProtection="1">
      <alignment horizontal="center" vertical="center"/>
      <protection locked="0"/>
    </xf>
    <xf numFmtId="37" fontId="6" fillId="0" borderId="59" xfId="0" applyNumberFormat="1" applyFont="1" applyBorder="1" applyAlignment="1" applyProtection="1">
      <alignment horizontal="center" vertical="center"/>
      <protection/>
    </xf>
    <xf numFmtId="37" fontId="6" fillId="0" borderId="56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0" fontId="17" fillId="2" borderId="114" xfId="0" applyFont="1" applyFill="1" applyBorder="1" applyAlignment="1" applyProtection="1">
      <alignment horizontal="center" vertical="center" wrapText="1"/>
      <protection locked="0"/>
    </xf>
    <xf numFmtId="0" fontId="17" fillId="2" borderId="115" xfId="0" applyFont="1" applyFill="1" applyBorder="1" applyAlignment="1" applyProtection="1">
      <alignment horizontal="center" vertical="center" wrapText="1"/>
      <protection locked="0"/>
    </xf>
    <xf numFmtId="0" fontId="17" fillId="2" borderId="116" xfId="0" applyFont="1" applyFill="1" applyBorder="1" applyAlignment="1" applyProtection="1">
      <alignment horizontal="center" vertical="center" wrapText="1"/>
      <protection locked="0"/>
    </xf>
    <xf numFmtId="0" fontId="17" fillId="0" borderId="117" xfId="0" applyFont="1" applyBorder="1" applyAlignment="1" applyProtection="1">
      <alignment horizontal="center" vertical="center"/>
      <protection/>
    </xf>
    <xf numFmtId="0" fontId="17" fillId="0" borderId="118" xfId="0" applyFont="1" applyBorder="1" applyAlignment="1" applyProtection="1">
      <alignment horizontal="center" vertical="center"/>
      <protection/>
    </xf>
    <xf numFmtId="0" fontId="17" fillId="0" borderId="119" xfId="0" applyFont="1" applyBorder="1" applyAlignment="1" applyProtection="1">
      <alignment horizontal="center" vertical="center"/>
      <protection/>
    </xf>
    <xf numFmtId="0" fontId="7" fillId="0" borderId="29" xfId="0" applyNumberFormat="1" applyFont="1" applyBorder="1" applyAlignment="1" applyProtection="1">
      <alignment vertical="center"/>
      <protection/>
    </xf>
    <xf numFmtId="0" fontId="20" fillId="0" borderId="117" xfId="0" applyFont="1" applyBorder="1" applyAlignment="1" applyProtection="1">
      <alignment horizontal="center" vertical="center"/>
      <protection locked="0"/>
    </xf>
    <xf numFmtId="0" fontId="20" fillId="0" borderId="118" xfId="0" applyFont="1" applyBorder="1" applyAlignment="1" applyProtection="1">
      <alignment horizontal="center" vertical="center"/>
      <protection locked="0"/>
    </xf>
    <xf numFmtId="0" fontId="20" fillId="0" borderId="119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20" fillId="0" borderId="114" xfId="0" applyFont="1" applyBorder="1" applyAlignment="1" applyProtection="1">
      <alignment horizontal="center" vertical="center" wrapText="1"/>
      <protection locked="0"/>
    </xf>
    <xf numFmtId="0" fontId="20" fillId="0" borderId="115" xfId="0" applyFont="1" applyBorder="1" applyAlignment="1" applyProtection="1">
      <alignment horizontal="center" vertical="center" wrapText="1"/>
      <protection locked="0"/>
    </xf>
    <xf numFmtId="0" fontId="20" fillId="0" borderId="116" xfId="0" applyFont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/>
    </xf>
    <xf numFmtId="0" fontId="15" fillId="0" borderId="5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7" fillId="0" borderId="114" xfId="0" applyFont="1" applyBorder="1" applyAlignment="1" applyProtection="1">
      <alignment horizontal="center" vertical="center" wrapText="1"/>
      <protection locked="0"/>
    </xf>
    <xf numFmtId="0" fontId="17" fillId="0" borderId="115" xfId="0" applyFont="1" applyBorder="1" applyAlignment="1" applyProtection="1">
      <alignment horizontal="center" vertical="center" wrapText="1"/>
      <protection locked="0"/>
    </xf>
    <xf numFmtId="0" fontId="17" fillId="0" borderId="116" xfId="0" applyFont="1" applyBorder="1" applyAlignment="1" applyProtection="1">
      <alignment horizontal="center" vertical="center" wrapText="1"/>
      <protection locked="0"/>
    </xf>
    <xf numFmtId="0" fontId="17" fillId="0" borderId="117" xfId="0" applyFont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17" fillId="0" borderId="117" xfId="0" applyFont="1" applyBorder="1" applyAlignment="1" applyProtection="1">
      <alignment horizontal="center" vertical="center"/>
      <protection locked="0"/>
    </xf>
    <xf numFmtId="0" fontId="17" fillId="0" borderId="118" xfId="0" applyFont="1" applyBorder="1" applyAlignment="1" applyProtection="1">
      <alignment horizontal="center" vertical="center"/>
      <protection locked="0"/>
    </xf>
    <xf numFmtId="0" fontId="17" fillId="0" borderId="119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center"/>
      <protection/>
    </xf>
    <xf numFmtId="0" fontId="17" fillId="0" borderId="114" xfId="0" applyFont="1" applyBorder="1" applyAlignment="1">
      <alignment horizontal="center" vertical="center" wrapText="1"/>
    </xf>
    <xf numFmtId="0" fontId="17" fillId="0" borderId="115" xfId="0" applyFont="1" applyBorder="1" applyAlignment="1">
      <alignment horizontal="center" vertical="center" wrapText="1"/>
    </xf>
    <xf numFmtId="0" fontId="17" fillId="0" borderId="116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17" fillId="0" borderId="14" xfId="0" applyFont="1" applyBorder="1" applyAlignment="1">
      <alignment vertical="center"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6" fillId="0" borderId="120" xfId="0" applyNumberFormat="1" applyFont="1" applyFill="1" applyBorder="1" applyAlignment="1" applyProtection="1">
      <alignment horizontal="center" vertical="center"/>
      <protection/>
    </xf>
    <xf numFmtId="0" fontId="6" fillId="0" borderId="121" xfId="0" applyNumberFormat="1" applyFont="1" applyFill="1" applyBorder="1" applyAlignment="1" applyProtection="1">
      <alignment horizontal="center" vertical="center"/>
      <protection/>
    </xf>
    <xf numFmtId="0" fontId="6" fillId="0" borderId="122" xfId="0" applyNumberFormat="1" applyFont="1" applyFill="1" applyBorder="1" applyAlignment="1" applyProtection="1">
      <alignment horizontal="center" vertical="center"/>
      <protection/>
    </xf>
    <xf numFmtId="0" fontId="6" fillId="0" borderId="123" xfId="0" applyNumberFormat="1" applyFont="1" applyFill="1" applyBorder="1" applyAlignment="1" applyProtection="1">
      <alignment horizontal="center" vertical="center"/>
      <protection/>
    </xf>
    <xf numFmtId="0" fontId="6" fillId="0" borderId="124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25" xfId="0" applyNumberFormat="1" applyFont="1" applyFill="1" applyBorder="1" applyAlignment="1" applyProtection="1">
      <alignment horizontal="center" vertical="center"/>
      <protection/>
    </xf>
    <xf numFmtId="0" fontId="6" fillId="0" borderId="126" xfId="0" applyNumberFormat="1" applyFont="1" applyFill="1" applyBorder="1" applyAlignment="1" applyProtection="1">
      <alignment horizontal="center" vertical="center"/>
      <protection/>
    </xf>
    <xf numFmtId="0" fontId="6" fillId="0" borderId="87" xfId="0" applyNumberFormat="1" applyFont="1" applyFill="1" applyBorder="1" applyAlignment="1" applyProtection="1">
      <alignment horizontal="center" vertical="center"/>
      <protection/>
    </xf>
    <xf numFmtId="0" fontId="6" fillId="2" borderId="59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27" xfId="0" applyNumberFormat="1" applyFont="1" applyFill="1" applyBorder="1" applyAlignment="1" applyProtection="1">
      <alignment horizontal="center" vertical="center" wrapText="1"/>
      <protection/>
    </xf>
    <xf numFmtId="0" fontId="6" fillId="0" borderId="97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vertical="top" wrapText="1"/>
      <protection/>
    </xf>
    <xf numFmtId="0" fontId="6" fillId="0" borderId="87" xfId="0" applyNumberFormat="1" applyFont="1" applyFill="1" applyBorder="1" applyAlignment="1" applyProtection="1">
      <alignment vertical="top" wrapText="1"/>
      <protection/>
    </xf>
    <xf numFmtId="0" fontId="6" fillId="0" borderId="31" xfId="0" applyNumberFormat="1" applyFont="1" applyFill="1" applyBorder="1" applyAlignment="1" applyProtection="1">
      <alignment vertical="top" wrapText="1"/>
      <protection/>
    </xf>
    <xf numFmtId="0" fontId="6" fillId="0" borderId="128" xfId="0" applyNumberFormat="1" applyFont="1" applyFill="1" applyBorder="1" applyAlignment="1" applyProtection="1">
      <alignment vertical="top" wrapText="1"/>
      <protection/>
    </xf>
    <xf numFmtId="0" fontId="6" fillId="0" borderId="26" xfId="0" applyNumberFormat="1" applyFont="1" applyFill="1" applyBorder="1" applyAlignment="1" applyProtection="1">
      <alignment vertical="top" wrapText="1"/>
      <protection/>
    </xf>
    <xf numFmtId="0" fontId="6" fillId="0" borderId="125" xfId="0" applyNumberFormat="1" applyFont="1" applyFill="1" applyBorder="1" applyAlignment="1" applyProtection="1">
      <alignment vertical="top" wrapText="1"/>
      <protection/>
    </xf>
    <xf numFmtId="0" fontId="6" fillId="0" borderId="129" xfId="0" applyNumberFormat="1" applyFont="1" applyFill="1" applyBorder="1" applyAlignment="1" applyProtection="1">
      <alignment horizontal="center" vertical="center" textRotation="255"/>
      <protection/>
    </xf>
    <xf numFmtId="0" fontId="6" fillId="0" borderId="130" xfId="0" applyNumberFormat="1" applyFont="1" applyFill="1" applyBorder="1" applyAlignment="1" applyProtection="1">
      <alignment horizontal="center" vertical="center" textRotation="255"/>
      <protection/>
    </xf>
    <xf numFmtId="0" fontId="6" fillId="0" borderId="131" xfId="0" applyNumberFormat="1" applyFont="1" applyFill="1" applyBorder="1" applyAlignment="1" applyProtection="1">
      <alignment horizontal="center" vertical="center" textRotation="255"/>
      <protection/>
    </xf>
    <xf numFmtId="0" fontId="13" fillId="0" borderId="131" xfId="0" applyNumberFormat="1" applyFont="1" applyFill="1" applyBorder="1" applyAlignment="1" applyProtection="1">
      <alignment horizontal="center" vertical="center"/>
      <protection/>
    </xf>
    <xf numFmtId="0" fontId="13" fillId="0" borderId="132" xfId="0" applyNumberFormat="1" applyFont="1" applyFill="1" applyBorder="1" applyAlignment="1" applyProtection="1">
      <alignment horizontal="center" vertical="center"/>
      <protection/>
    </xf>
    <xf numFmtId="0" fontId="6" fillId="0" borderId="126" xfId="0" applyNumberFormat="1" applyFont="1" applyFill="1" applyBorder="1" applyAlignment="1" applyProtection="1">
      <alignment horizontal="center" vertical="center" wrapText="1"/>
      <protection/>
    </xf>
    <xf numFmtId="0" fontId="6" fillId="0" borderId="87" xfId="0" applyNumberFormat="1" applyFont="1" applyFill="1" applyBorder="1" applyAlignment="1" applyProtection="1">
      <alignment horizontal="center" vertical="center" wrapText="1"/>
      <protection/>
    </xf>
    <xf numFmtId="0" fontId="13" fillId="0" borderId="133" xfId="0" applyNumberFormat="1" applyFont="1" applyFill="1" applyBorder="1" applyAlignment="1" applyProtection="1">
      <alignment horizontal="center" vertical="center"/>
      <protection/>
    </xf>
    <xf numFmtId="0" fontId="13" fillId="0" borderId="134" xfId="0" applyNumberFormat="1" applyFont="1" applyFill="1" applyBorder="1" applyAlignment="1" applyProtection="1">
      <alignment horizontal="center" vertical="center"/>
      <protection/>
    </xf>
    <xf numFmtId="0" fontId="17" fillId="0" borderId="76" xfId="0" applyNumberFormat="1" applyFont="1" applyFill="1" applyBorder="1" applyAlignment="1" applyProtection="1">
      <alignment horizontal="center" vertical="center"/>
      <protection/>
    </xf>
    <xf numFmtId="0" fontId="17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textRotation="255"/>
      <protection/>
    </xf>
    <xf numFmtId="0" fontId="6" fillId="0" borderId="25" xfId="0" applyNumberFormat="1" applyFont="1" applyFill="1" applyBorder="1" applyAlignment="1" applyProtection="1">
      <alignment horizontal="center" vertical="center" textRotation="255"/>
      <protection/>
    </xf>
    <xf numFmtId="0" fontId="6" fillId="0" borderId="11" xfId="0" applyNumberFormat="1" applyFont="1" applyFill="1" applyBorder="1" applyAlignment="1" applyProtection="1">
      <alignment horizontal="center" vertical="center" textRotation="255"/>
      <protection/>
    </xf>
    <xf numFmtId="0" fontId="6" fillId="0" borderId="123" xfId="0" applyNumberFormat="1" applyFont="1" applyFill="1" applyBorder="1" applyAlignment="1" applyProtection="1">
      <alignment vertical="center" wrapText="1"/>
      <protection/>
    </xf>
    <xf numFmtId="0" fontId="6" fillId="0" borderId="135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 quotePrefix="1">
      <alignment horizontal="center" vertical="center"/>
      <protection/>
    </xf>
    <xf numFmtId="0" fontId="6" fillId="0" borderId="56" xfId="0" applyNumberFormat="1" applyFont="1" applyFill="1" applyBorder="1" applyAlignment="1" applyProtection="1" quotePrefix="1">
      <alignment horizontal="center" vertical="center"/>
      <protection/>
    </xf>
    <xf numFmtId="0" fontId="6" fillId="0" borderId="17" xfId="0" applyNumberFormat="1" applyFont="1" applyFill="1" applyBorder="1" applyAlignment="1" applyProtection="1" quotePrefix="1">
      <alignment horizontal="center" vertical="center"/>
      <protection/>
    </xf>
    <xf numFmtId="0" fontId="13" fillId="0" borderId="96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 quotePrefix="1">
      <alignment horizontal="left" vertical="center" wrapText="1"/>
      <protection/>
    </xf>
    <xf numFmtId="0" fontId="6" fillId="0" borderId="96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56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36" xfId="0" applyNumberFormat="1" applyFont="1" applyFill="1" applyBorder="1" applyAlignment="1" applyProtection="1">
      <alignment horizontal="center" vertical="center"/>
      <protection/>
    </xf>
    <xf numFmtId="0" fontId="17" fillId="0" borderId="115" xfId="0" applyNumberFormat="1" applyFont="1" applyFill="1" applyBorder="1" applyAlignment="1" applyProtection="1">
      <alignment horizontal="center" vertical="center"/>
      <protection/>
    </xf>
    <xf numFmtId="0" fontId="6" fillId="0" borderId="137" xfId="0" applyNumberFormat="1" applyFont="1" applyFill="1" applyBorder="1" applyAlignment="1" applyProtection="1">
      <alignment horizontal="center" vertical="center" wrapText="1"/>
      <protection/>
    </xf>
    <xf numFmtId="0" fontId="6" fillId="0" borderId="115" xfId="0" applyNumberFormat="1" applyFont="1" applyFill="1" applyBorder="1" applyAlignment="1" applyProtection="1">
      <alignment horizontal="center" vertical="center" wrapText="1"/>
      <protection/>
    </xf>
    <xf numFmtId="0" fontId="6" fillId="0" borderId="138" xfId="0" applyNumberFormat="1" applyFont="1" applyFill="1" applyBorder="1" applyAlignment="1" applyProtection="1">
      <alignment horizontal="center" vertical="center" wrapText="1"/>
      <protection/>
    </xf>
    <xf numFmtId="0" fontId="18" fillId="0" borderId="139" xfId="0" applyNumberFormat="1" applyFont="1" applyFill="1" applyBorder="1" applyAlignment="1" applyProtection="1">
      <alignment horizontal="center" vertical="center"/>
      <protection/>
    </xf>
    <xf numFmtId="0" fontId="18" fillId="0" borderId="140" xfId="0" applyNumberFormat="1" applyFont="1" applyFill="1" applyBorder="1" applyAlignment="1" applyProtection="1">
      <alignment horizontal="center" vertical="center"/>
      <protection/>
    </xf>
    <xf numFmtId="0" fontId="23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31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141" xfId="0" applyNumberFormat="1" applyFont="1" applyFill="1" applyBorder="1" applyAlignment="1" applyProtection="1">
      <alignment horizontal="center" vertical="center" wrapText="1"/>
      <protection/>
    </xf>
    <xf numFmtId="0" fontId="6" fillId="0" borderId="118" xfId="0" applyNumberFormat="1" applyFont="1" applyFill="1" applyBorder="1" applyAlignment="1" applyProtection="1">
      <alignment horizontal="center" vertical="center" wrapText="1"/>
      <protection/>
    </xf>
    <xf numFmtId="0" fontId="6" fillId="0" borderId="79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2" xfId="0" applyNumberFormat="1" applyFont="1" applyFill="1" applyBorder="1" applyAlignment="1" applyProtection="1">
      <alignment horizontal="center" vertical="center" wrapText="1"/>
      <protection/>
    </xf>
    <xf numFmtId="0" fontId="6" fillId="0" borderId="143" xfId="0" applyNumberFormat="1" applyFont="1" applyFill="1" applyBorder="1" applyAlignment="1" applyProtection="1">
      <alignment horizontal="center" vertical="center" wrapText="1"/>
      <protection/>
    </xf>
    <xf numFmtId="0" fontId="6" fillId="0" borderId="135" xfId="0" applyNumberFormat="1" applyFont="1" applyFill="1" applyBorder="1" applyAlignment="1" applyProtection="1">
      <alignment horizontal="center" vertical="center" wrapText="1"/>
      <protection/>
    </xf>
    <xf numFmtId="0" fontId="6" fillId="0" borderId="144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145" xfId="0" applyNumberFormat="1" applyFont="1" applyFill="1" applyBorder="1" applyAlignment="1" applyProtection="1">
      <alignment horizontal="center" vertical="center" wrapText="1"/>
      <protection/>
    </xf>
    <xf numFmtId="0" fontId="6" fillId="2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136" xfId="0" applyNumberFormat="1" applyFont="1" applyFill="1" applyBorder="1" applyAlignment="1" applyProtection="1">
      <alignment horizontal="center" vertical="center"/>
      <protection/>
    </xf>
    <xf numFmtId="0" fontId="6" fillId="0" borderId="115" xfId="0" applyNumberFormat="1" applyFont="1" applyFill="1" applyBorder="1" applyAlignment="1" applyProtection="1">
      <alignment horizontal="center" vertical="center"/>
      <protection/>
    </xf>
    <xf numFmtId="0" fontId="6" fillId="0" borderId="138" xfId="0" applyNumberFormat="1" applyFont="1" applyFill="1" applyBorder="1" applyAlignment="1" applyProtection="1">
      <alignment horizontal="center" vertical="center"/>
      <protection/>
    </xf>
    <xf numFmtId="0" fontId="21" fillId="0" borderId="59" xfId="0" applyNumberFormat="1" applyFont="1" applyFill="1" applyBorder="1" applyAlignment="1" applyProtection="1">
      <alignment horizontal="center" vertical="center"/>
      <protection/>
    </xf>
    <xf numFmtId="0" fontId="21" fillId="0" borderId="56" xfId="0" applyNumberFormat="1" applyFont="1" applyFill="1" applyBorder="1" applyAlignment="1" applyProtection="1">
      <alignment horizontal="center" vertical="center"/>
      <protection/>
    </xf>
    <xf numFmtId="0" fontId="22" fillId="0" borderId="146" xfId="0" applyNumberFormat="1" applyFont="1" applyFill="1" applyBorder="1" applyAlignment="1" applyProtection="1">
      <alignment horizontal="center" vertical="center"/>
      <protection/>
    </xf>
    <xf numFmtId="0" fontId="22" fillId="0" borderId="147" xfId="0" applyNumberFormat="1" applyFont="1" applyFill="1" applyBorder="1" applyAlignment="1" applyProtection="1">
      <alignment horizontal="center" vertical="center"/>
      <protection/>
    </xf>
    <xf numFmtId="0" fontId="6" fillId="0" borderId="14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6" fillId="0" borderId="14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49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83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87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50" xfId="0" applyNumberFormat="1" applyFont="1" applyFill="1" applyBorder="1" applyAlignment="1" applyProtection="1">
      <alignment horizontal="center" vertical="center" textRotation="255"/>
      <protection/>
    </xf>
    <xf numFmtId="0" fontId="6" fillId="0" borderId="151" xfId="0" applyNumberFormat="1" applyFont="1" applyFill="1" applyBorder="1" applyAlignment="1" applyProtection="1">
      <alignment horizontal="center" vertical="center" textRotation="255"/>
      <protection/>
    </xf>
    <xf numFmtId="0" fontId="6" fillId="0" borderId="132" xfId="0" applyNumberFormat="1" applyFont="1" applyFill="1" applyBorder="1" applyAlignment="1" applyProtection="1">
      <alignment horizontal="center" vertical="center" textRotation="255"/>
      <protection/>
    </xf>
    <xf numFmtId="0" fontId="17" fillId="0" borderId="59" xfId="0" applyNumberFormat="1" applyFont="1" applyFill="1" applyBorder="1" applyAlignment="1" applyProtection="1">
      <alignment horizontal="center" vertical="center"/>
      <protection/>
    </xf>
    <xf numFmtId="0" fontId="17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2" borderId="59" xfId="0" applyNumberFormat="1" applyFont="1" applyFill="1" applyBorder="1" applyAlignment="1" applyProtection="1">
      <alignment horizontal="center" vertical="center"/>
      <protection locked="0"/>
    </xf>
    <xf numFmtId="0" fontId="24" fillId="2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15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9" xfId="0" applyNumberFormat="1" applyFont="1" applyFill="1" applyBorder="1" applyAlignment="1" applyProtection="1">
      <alignment horizontal="center" vertical="center"/>
      <protection/>
    </xf>
    <xf numFmtId="0" fontId="22" fillId="0" borderId="118" xfId="0" applyNumberFormat="1" applyFont="1" applyFill="1" applyBorder="1" applyAlignment="1" applyProtection="1">
      <alignment horizontal="center" vertical="center"/>
      <protection/>
    </xf>
    <xf numFmtId="0" fontId="18" fillId="0" borderId="153" xfId="0" applyNumberFormat="1" applyFont="1" applyFill="1" applyBorder="1" applyAlignment="1" applyProtection="1">
      <alignment horizontal="center" vertical="center"/>
      <protection/>
    </xf>
    <xf numFmtId="0" fontId="18" fillId="0" borderId="15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84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3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55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56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9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6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99" xfId="0" applyNumberFormat="1" applyFont="1" applyFill="1" applyBorder="1" applyAlignment="1" applyProtection="1">
      <alignment horizontal="center" vertical="center"/>
      <protection/>
    </xf>
    <xf numFmtId="0" fontId="6" fillId="0" borderId="97" xfId="0" applyNumberFormat="1" applyFont="1" applyFill="1" applyBorder="1" applyAlignment="1" applyProtection="1">
      <alignment horizontal="center" vertical="center"/>
      <protection/>
    </xf>
    <xf numFmtId="0" fontId="6" fillId="0" borderId="158" xfId="0" applyNumberFormat="1" applyFont="1" applyFill="1" applyBorder="1" applyAlignment="1" applyProtection="1" quotePrefix="1">
      <alignment horizontal="center" vertical="center"/>
      <protection/>
    </xf>
    <xf numFmtId="0" fontId="6" fillId="0" borderId="94" xfId="0" applyNumberFormat="1" applyFont="1" applyFill="1" applyBorder="1" applyAlignment="1" applyProtection="1" quotePrefix="1">
      <alignment horizontal="center" vertical="center"/>
      <protection/>
    </xf>
    <xf numFmtId="0" fontId="6" fillId="0" borderId="95" xfId="0" applyNumberFormat="1" applyFont="1" applyFill="1" applyBorder="1" applyAlignment="1" applyProtection="1" quotePrefix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 quotePrefix="1">
      <alignment horizontal="center" vertical="center"/>
      <protection/>
    </xf>
    <xf numFmtId="0" fontId="2" fillId="0" borderId="94" xfId="0" applyNumberFormat="1" applyFont="1" applyBorder="1" applyAlignment="1" applyProtection="1" quotePrefix="1">
      <alignment horizontal="center" vertical="center"/>
      <protection/>
    </xf>
    <xf numFmtId="0" fontId="2" fillId="0" borderId="95" xfId="0" applyNumberFormat="1" applyFont="1" applyBorder="1" applyAlignment="1" applyProtection="1" quotePrefix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98" xfId="0" applyNumberFormat="1" applyFont="1" applyBorder="1" applyAlignment="1" applyProtection="1" quotePrefix="1">
      <alignment horizontal="center" vertical="center" textRotation="255"/>
      <protection/>
    </xf>
    <xf numFmtId="0" fontId="7" fillId="0" borderId="99" xfId="0" applyNumberFormat="1" applyFont="1" applyBorder="1" applyAlignment="1" applyProtection="1" quotePrefix="1">
      <alignment horizontal="center" vertical="center" textRotation="255"/>
      <protection/>
    </xf>
    <xf numFmtId="0" fontId="7" fillId="0" borderId="105" xfId="0" applyNumberFormat="1" applyFont="1" applyBorder="1" applyAlignment="1" applyProtection="1" quotePrefix="1">
      <alignment horizontal="center" vertical="center" textRotation="255"/>
      <protection/>
    </xf>
    <xf numFmtId="0" fontId="6" fillId="0" borderId="27" xfId="0" applyNumberFormat="1" applyFont="1" applyBorder="1" applyAlignment="1" applyProtection="1">
      <alignment vertical="center"/>
      <protection locked="0"/>
    </xf>
    <xf numFmtId="0" fontId="6" fillId="0" borderId="68" xfId="0" applyNumberFormat="1" applyFont="1" applyBorder="1" applyAlignment="1" applyProtection="1">
      <alignment vertical="center"/>
      <protection locked="0"/>
    </xf>
    <xf numFmtId="0" fontId="6" fillId="0" borderId="42" xfId="0" applyNumberFormat="1" applyFont="1" applyBorder="1" applyAlignment="1" applyProtection="1">
      <alignment vertical="center"/>
      <protection locked="0"/>
    </xf>
    <xf numFmtId="0" fontId="6" fillId="0" borderId="37" xfId="0" applyNumberFormat="1" applyFont="1" applyBorder="1" applyAlignment="1" applyProtection="1">
      <alignment vertical="center"/>
      <protection locked="0"/>
    </xf>
    <xf numFmtId="0" fontId="6" fillId="0" borderId="159" xfId="0" applyNumberFormat="1" applyFont="1" applyBorder="1" applyAlignment="1" applyProtection="1">
      <alignment vertical="center"/>
      <protection locked="0"/>
    </xf>
    <xf numFmtId="0" fontId="6" fillId="0" borderId="45" xfId="0" applyNumberFormat="1" applyFont="1" applyBorder="1" applyAlignment="1" applyProtection="1">
      <alignment vertical="center"/>
      <protection locked="0"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43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vertical="center"/>
      <protection locked="0"/>
    </xf>
    <xf numFmtId="0" fontId="6" fillId="0" borderId="66" xfId="0" applyNumberFormat="1" applyFont="1" applyBorder="1" applyAlignment="1" applyProtection="1">
      <alignment vertical="center"/>
      <protection locked="0"/>
    </xf>
    <xf numFmtId="0" fontId="6" fillId="0" borderId="46" xfId="0" applyNumberFormat="1" applyFont="1" applyBorder="1" applyAlignment="1" applyProtection="1">
      <alignment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26" xfId="0" applyNumberFormat="1" applyFont="1" applyBorder="1" applyAlignment="1" applyProtection="1" quotePrefix="1">
      <alignment horizontal="center" vertical="center"/>
      <protection/>
    </xf>
    <xf numFmtId="0" fontId="6" fillId="0" borderId="15" xfId="0" applyNumberFormat="1" applyFont="1" applyBorder="1" applyAlignment="1" applyProtection="1" quotePrefix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31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Border="1" applyAlignment="1" applyProtection="1" quotePrefix="1">
      <alignment vertical="center" wrapText="1"/>
      <protection/>
    </xf>
    <xf numFmtId="0" fontId="6" fillId="0" borderId="29" xfId="0" applyNumberFormat="1" applyFont="1" applyBorder="1" applyAlignment="1" applyProtection="1" quotePrefix="1">
      <alignment vertical="center" wrapText="1"/>
      <protection/>
    </xf>
    <xf numFmtId="0" fontId="6" fillId="0" borderId="12" xfId="0" applyNumberFormat="1" applyFont="1" applyBorder="1" applyAlignment="1" applyProtection="1" quotePrefix="1">
      <alignment vertical="center" wrapText="1"/>
      <protection/>
    </xf>
    <xf numFmtId="0" fontId="6" fillId="0" borderId="31" xfId="0" applyNumberFormat="1" applyFont="1" applyBorder="1" applyAlignment="1" applyProtection="1">
      <alignment vertical="top" wrapText="1"/>
      <protection/>
    </xf>
    <xf numFmtId="0" fontId="6" fillId="0" borderId="19" xfId="0" applyNumberFormat="1" applyFont="1" applyBorder="1" applyAlignment="1" applyProtection="1">
      <alignment vertical="top" wrapText="1"/>
      <protection/>
    </xf>
    <xf numFmtId="0" fontId="6" fillId="0" borderId="33" xfId="0" applyNumberFormat="1" applyFont="1" applyBorder="1" applyAlignment="1" applyProtection="1">
      <alignment vertical="top" wrapText="1"/>
      <protection/>
    </xf>
    <xf numFmtId="0" fontId="6" fillId="0" borderId="29" xfId="0" applyNumberFormat="1" applyFont="1" applyBorder="1" applyAlignment="1" applyProtection="1">
      <alignment vertical="top" wrapText="1"/>
      <protection/>
    </xf>
    <xf numFmtId="0" fontId="6" fillId="0" borderId="0" xfId="0" applyNumberFormat="1" applyFont="1" applyBorder="1" applyAlignment="1" applyProtection="1">
      <alignment vertical="top" wrapText="1"/>
      <protection/>
    </xf>
    <xf numFmtId="0" fontId="6" fillId="0" borderId="5" xfId="0" applyNumberFormat="1" applyFont="1" applyBorder="1" applyAlignment="1" applyProtection="1">
      <alignment vertical="top" wrapText="1"/>
      <protection/>
    </xf>
    <xf numFmtId="0" fontId="6" fillId="0" borderId="113" xfId="0" applyNumberFormat="1" applyFont="1" applyBorder="1" applyAlignment="1" applyProtection="1">
      <alignment vertical="top" wrapText="1"/>
      <protection/>
    </xf>
    <xf numFmtId="0" fontId="6" fillId="0" borderId="7" xfId="0" applyNumberFormat="1" applyFont="1" applyBorder="1" applyAlignment="1" applyProtection="1">
      <alignment vertical="top" wrapText="1"/>
      <protection/>
    </xf>
    <xf numFmtId="0" fontId="6" fillId="0" borderId="8" xfId="0" applyNumberFormat="1" applyFont="1" applyBorder="1" applyAlignment="1" applyProtection="1">
      <alignment vertical="top" wrapText="1"/>
      <protection/>
    </xf>
    <xf numFmtId="0" fontId="6" fillId="0" borderId="25" xfId="0" applyNumberFormat="1" applyFont="1" applyBorder="1" applyAlignment="1" applyProtection="1" quotePrefix="1">
      <alignment horizontal="center" vertical="center"/>
      <protection/>
    </xf>
    <xf numFmtId="0" fontId="6" fillId="0" borderId="153" xfId="0" applyNumberFormat="1" applyFont="1" applyBorder="1" applyAlignment="1" applyProtection="1">
      <alignment horizontal="center" vertical="center"/>
      <protection locked="0"/>
    </xf>
    <xf numFmtId="0" fontId="6" fillId="0" borderId="122" xfId="0" applyNumberFormat="1" applyFont="1" applyBorder="1" applyAlignment="1" applyProtection="1">
      <alignment horizontal="center" vertical="center"/>
      <protection locked="0"/>
    </xf>
    <xf numFmtId="0" fontId="6" fillId="0" borderId="72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1" name="Line 1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2" name="Line 2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3" name="Line 3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5" name="Line 5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6" name="Line 6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7" name="Line 7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8" name="Line 8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36</xdr:row>
      <xdr:rowOff>0</xdr:rowOff>
    </xdr:from>
    <xdr:to>
      <xdr:col>11</xdr:col>
      <xdr:colOff>219075</xdr:colOff>
      <xdr:row>38</xdr:row>
      <xdr:rowOff>19050</xdr:rowOff>
    </xdr:to>
    <xdr:sp>
      <xdr:nvSpPr>
        <xdr:cNvPr id="9" name="Line 9"/>
        <xdr:cNvSpPr>
          <a:spLocks/>
        </xdr:cNvSpPr>
      </xdr:nvSpPr>
      <xdr:spPr>
        <a:xfrm>
          <a:off x="26289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36</xdr:row>
      <xdr:rowOff>0</xdr:rowOff>
    </xdr:from>
    <xdr:to>
      <xdr:col>11</xdr:col>
      <xdr:colOff>219075</xdr:colOff>
      <xdr:row>38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26289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36</xdr:row>
      <xdr:rowOff>0</xdr:rowOff>
    </xdr:from>
    <xdr:to>
      <xdr:col>19</xdr:col>
      <xdr:colOff>219075</xdr:colOff>
      <xdr:row>38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44577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36</xdr:row>
      <xdr:rowOff>0</xdr:rowOff>
    </xdr:from>
    <xdr:to>
      <xdr:col>19</xdr:col>
      <xdr:colOff>219075</xdr:colOff>
      <xdr:row>38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44577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36</xdr:row>
      <xdr:rowOff>0</xdr:rowOff>
    </xdr:from>
    <xdr:to>
      <xdr:col>27</xdr:col>
      <xdr:colOff>219075</xdr:colOff>
      <xdr:row>38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62865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36</xdr:row>
      <xdr:rowOff>0</xdr:rowOff>
    </xdr:from>
    <xdr:to>
      <xdr:col>27</xdr:col>
      <xdr:colOff>219075</xdr:colOff>
      <xdr:row>38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62865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36</xdr:row>
      <xdr:rowOff>0</xdr:rowOff>
    </xdr:from>
    <xdr:to>
      <xdr:col>35</xdr:col>
      <xdr:colOff>219075</xdr:colOff>
      <xdr:row>38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81153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36</xdr:row>
      <xdr:rowOff>0</xdr:rowOff>
    </xdr:from>
    <xdr:to>
      <xdr:col>35</xdr:col>
      <xdr:colOff>219075</xdr:colOff>
      <xdr:row>38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81153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36</xdr:row>
      <xdr:rowOff>0</xdr:rowOff>
    </xdr:from>
    <xdr:to>
      <xdr:col>11</xdr:col>
      <xdr:colOff>219075</xdr:colOff>
      <xdr:row>38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26289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36</xdr:row>
      <xdr:rowOff>0</xdr:rowOff>
    </xdr:from>
    <xdr:to>
      <xdr:col>19</xdr:col>
      <xdr:colOff>219075</xdr:colOff>
      <xdr:row>38</xdr:row>
      <xdr:rowOff>19050</xdr:rowOff>
    </xdr:to>
    <xdr:sp>
      <xdr:nvSpPr>
        <xdr:cNvPr id="24" name="Line 24"/>
        <xdr:cNvSpPr>
          <a:spLocks/>
        </xdr:cNvSpPr>
      </xdr:nvSpPr>
      <xdr:spPr>
        <a:xfrm>
          <a:off x="44577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36</xdr:row>
      <xdr:rowOff>0</xdr:rowOff>
    </xdr:from>
    <xdr:to>
      <xdr:col>27</xdr:col>
      <xdr:colOff>219075</xdr:colOff>
      <xdr:row>38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62865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36</xdr:row>
      <xdr:rowOff>0</xdr:rowOff>
    </xdr:from>
    <xdr:to>
      <xdr:col>35</xdr:col>
      <xdr:colOff>219075</xdr:colOff>
      <xdr:row>38</xdr:row>
      <xdr:rowOff>19050</xdr:rowOff>
    </xdr:to>
    <xdr:sp>
      <xdr:nvSpPr>
        <xdr:cNvPr id="26" name="Line 26"/>
        <xdr:cNvSpPr>
          <a:spLocks/>
        </xdr:cNvSpPr>
      </xdr:nvSpPr>
      <xdr:spPr>
        <a:xfrm>
          <a:off x="81153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36</xdr:row>
      <xdr:rowOff>0</xdr:rowOff>
    </xdr:from>
    <xdr:to>
      <xdr:col>27</xdr:col>
      <xdr:colOff>219075</xdr:colOff>
      <xdr:row>38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62865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36</xdr:row>
      <xdr:rowOff>0</xdr:rowOff>
    </xdr:from>
    <xdr:to>
      <xdr:col>35</xdr:col>
      <xdr:colOff>219075</xdr:colOff>
      <xdr:row>38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8115300" y="10696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30" name="Line 30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32" name="Line 32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33" name="Line 33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34" name="Line 34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35" name="Line 35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36" name="Line 36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37" name="Line 37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38" name="Line 38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39" name="Line 39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40" name="Line 40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43" name="Line 43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44" name="Line 44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48" name="Line 48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49" name="Line 49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50" name="Line 50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51" name="Line 51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52" name="Line 52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53" name="Line 53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54" name="Line 54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55" name="Line 55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56" name="Line 56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57" name="Line 57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58" name="Line 58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59" name="Line 59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60" name="Line 60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61" name="Line 61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62" name="Line 62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63" name="Line 63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64" name="Line 64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65" name="Line 65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66" name="Line 66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67" name="Line 67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68" name="Line 68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69" name="Line 69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70" name="Line 70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71" name="Line 71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72" name="Line 72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73" name="Line 73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74" name="Line 74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75" name="Line 75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76" name="Line 76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77" name="Line 77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78" name="Line 78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79" name="Line 79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80" name="Line 80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0</xdr:rowOff>
    </xdr:from>
    <xdr:to>
      <xdr:col>11</xdr:col>
      <xdr:colOff>219075</xdr:colOff>
      <xdr:row>24</xdr:row>
      <xdr:rowOff>19050</xdr:rowOff>
    </xdr:to>
    <xdr:sp>
      <xdr:nvSpPr>
        <xdr:cNvPr id="81" name="Line 81"/>
        <xdr:cNvSpPr>
          <a:spLocks/>
        </xdr:cNvSpPr>
      </xdr:nvSpPr>
      <xdr:spPr>
        <a:xfrm>
          <a:off x="26289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0</xdr:rowOff>
    </xdr:from>
    <xdr:to>
      <xdr:col>19</xdr:col>
      <xdr:colOff>219075</xdr:colOff>
      <xdr:row>24</xdr:row>
      <xdr:rowOff>19050</xdr:rowOff>
    </xdr:to>
    <xdr:sp>
      <xdr:nvSpPr>
        <xdr:cNvPr id="82" name="Line 82"/>
        <xdr:cNvSpPr>
          <a:spLocks/>
        </xdr:cNvSpPr>
      </xdr:nvSpPr>
      <xdr:spPr>
        <a:xfrm>
          <a:off x="44577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83" name="Line 83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84" name="Line 84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0</xdr:rowOff>
    </xdr:from>
    <xdr:to>
      <xdr:col>27</xdr:col>
      <xdr:colOff>219075</xdr:colOff>
      <xdr:row>24</xdr:row>
      <xdr:rowOff>19050</xdr:rowOff>
    </xdr:to>
    <xdr:sp>
      <xdr:nvSpPr>
        <xdr:cNvPr id="85" name="Line 85"/>
        <xdr:cNvSpPr>
          <a:spLocks/>
        </xdr:cNvSpPr>
      </xdr:nvSpPr>
      <xdr:spPr>
        <a:xfrm>
          <a:off x="62865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22</xdr:row>
      <xdr:rowOff>0</xdr:rowOff>
    </xdr:from>
    <xdr:to>
      <xdr:col>35</xdr:col>
      <xdr:colOff>219075</xdr:colOff>
      <xdr:row>24</xdr:row>
      <xdr:rowOff>19050</xdr:rowOff>
    </xdr:to>
    <xdr:sp>
      <xdr:nvSpPr>
        <xdr:cNvPr id="86" name="Line 86"/>
        <xdr:cNvSpPr>
          <a:spLocks/>
        </xdr:cNvSpPr>
      </xdr:nvSpPr>
      <xdr:spPr>
        <a:xfrm>
          <a:off x="8115300" y="6467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15</xdr:row>
      <xdr:rowOff>0</xdr:rowOff>
    </xdr:from>
    <xdr:to>
      <xdr:col>11</xdr:col>
      <xdr:colOff>228600</xdr:colOff>
      <xdr:row>17</xdr:row>
      <xdr:rowOff>0</xdr:rowOff>
    </xdr:to>
    <xdr:sp>
      <xdr:nvSpPr>
        <xdr:cNvPr id="87" name="Line 87"/>
        <xdr:cNvSpPr>
          <a:spLocks/>
        </xdr:cNvSpPr>
      </xdr:nvSpPr>
      <xdr:spPr>
        <a:xfrm>
          <a:off x="2638425" y="43529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15</xdr:row>
      <xdr:rowOff>0</xdr:rowOff>
    </xdr:from>
    <xdr:to>
      <xdr:col>19</xdr:col>
      <xdr:colOff>228600</xdr:colOff>
      <xdr:row>17</xdr:row>
      <xdr:rowOff>0</xdr:rowOff>
    </xdr:to>
    <xdr:sp>
      <xdr:nvSpPr>
        <xdr:cNvPr id="88" name="Line 88"/>
        <xdr:cNvSpPr>
          <a:spLocks/>
        </xdr:cNvSpPr>
      </xdr:nvSpPr>
      <xdr:spPr>
        <a:xfrm>
          <a:off x="4467225" y="43529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228600</xdr:colOff>
      <xdr:row>15</xdr:row>
      <xdr:rowOff>0</xdr:rowOff>
    </xdr:from>
    <xdr:to>
      <xdr:col>27</xdr:col>
      <xdr:colOff>228600</xdr:colOff>
      <xdr:row>17</xdr:row>
      <xdr:rowOff>0</xdr:rowOff>
    </xdr:to>
    <xdr:sp>
      <xdr:nvSpPr>
        <xdr:cNvPr id="89" name="Line 89"/>
        <xdr:cNvSpPr>
          <a:spLocks/>
        </xdr:cNvSpPr>
      </xdr:nvSpPr>
      <xdr:spPr>
        <a:xfrm>
          <a:off x="6296025" y="43529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15</xdr:row>
      <xdr:rowOff>0</xdr:rowOff>
    </xdr:from>
    <xdr:to>
      <xdr:col>35</xdr:col>
      <xdr:colOff>228600</xdr:colOff>
      <xdr:row>17</xdr:row>
      <xdr:rowOff>0</xdr:rowOff>
    </xdr:to>
    <xdr:sp>
      <xdr:nvSpPr>
        <xdr:cNvPr id="90" name="Line 90"/>
        <xdr:cNvSpPr>
          <a:spLocks/>
        </xdr:cNvSpPr>
      </xdr:nvSpPr>
      <xdr:spPr>
        <a:xfrm>
          <a:off x="8124825" y="43529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91" name="Line 91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92" name="Line 92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93" name="Line 93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94" name="Line 94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95" name="Line 95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96" name="Line 96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97" name="Line 97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98" name="Line 98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99" name="Line 99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00" name="Line 100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01" name="Line 101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03" name="Line 103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04" name="Line 104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105" name="Line 105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06" name="Line 106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07" name="Line 107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08" name="Line 108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09" name="Line 109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10" name="Line 110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111" name="Line 111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112" name="Line 112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13" name="Line 113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14" name="Line 114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15" name="Line 115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16" name="Line 116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17" name="Line 117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18" name="Line 118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119" name="Line 119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20" name="Line 120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21" name="Line 121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22" name="Line 122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23" name="Line 123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24" name="Line 124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125" name="Line 125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26" name="Line 126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27" name="Line 127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28" name="Line 128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29" name="Line 129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30" name="Line 130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131" name="Line 131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32" name="Line 132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33" name="Line 133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34" name="Line 134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35" name="Line 135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36" name="Line 136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137" name="Line 137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138" name="Line 138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39" name="Line 139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40" name="Line 140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41" name="Line 141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42" name="Line 142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43" name="Line 143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44" name="Line 144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145" name="Line 145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46" name="Line 146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47" name="Line 147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48" name="Line 148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49" name="Line 149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50" name="Line 150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151" name="Line 151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52" name="Line 152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53" name="Line 153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54" name="Line 154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56" name="Line 156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11</xdr:col>
      <xdr:colOff>219075</xdr:colOff>
      <xdr:row>31</xdr:row>
      <xdr:rowOff>19050</xdr:rowOff>
    </xdr:to>
    <xdr:sp>
      <xdr:nvSpPr>
        <xdr:cNvPr id="157" name="Line 157"/>
        <xdr:cNvSpPr>
          <a:spLocks/>
        </xdr:cNvSpPr>
      </xdr:nvSpPr>
      <xdr:spPr>
        <a:xfrm>
          <a:off x="26289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29</xdr:row>
      <xdr:rowOff>0</xdr:rowOff>
    </xdr:from>
    <xdr:to>
      <xdr:col>19</xdr:col>
      <xdr:colOff>219075</xdr:colOff>
      <xdr:row>31</xdr:row>
      <xdr:rowOff>19050</xdr:rowOff>
    </xdr:to>
    <xdr:sp>
      <xdr:nvSpPr>
        <xdr:cNvPr id="158" name="Line 158"/>
        <xdr:cNvSpPr>
          <a:spLocks/>
        </xdr:cNvSpPr>
      </xdr:nvSpPr>
      <xdr:spPr>
        <a:xfrm>
          <a:off x="44577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59" name="Line 159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60" name="Line 160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29</xdr:row>
      <xdr:rowOff>0</xdr:rowOff>
    </xdr:from>
    <xdr:to>
      <xdr:col>27</xdr:col>
      <xdr:colOff>219075</xdr:colOff>
      <xdr:row>31</xdr:row>
      <xdr:rowOff>19050</xdr:rowOff>
    </xdr:to>
    <xdr:sp>
      <xdr:nvSpPr>
        <xdr:cNvPr id="161" name="Line 161"/>
        <xdr:cNvSpPr>
          <a:spLocks/>
        </xdr:cNvSpPr>
      </xdr:nvSpPr>
      <xdr:spPr>
        <a:xfrm>
          <a:off x="62865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29</xdr:row>
      <xdr:rowOff>0</xdr:rowOff>
    </xdr:from>
    <xdr:to>
      <xdr:col>35</xdr:col>
      <xdr:colOff>219075</xdr:colOff>
      <xdr:row>31</xdr:row>
      <xdr:rowOff>19050</xdr:rowOff>
    </xdr:to>
    <xdr:sp>
      <xdr:nvSpPr>
        <xdr:cNvPr id="162" name="Line 162"/>
        <xdr:cNvSpPr>
          <a:spLocks/>
        </xdr:cNvSpPr>
      </xdr:nvSpPr>
      <xdr:spPr>
        <a:xfrm>
          <a:off x="8115300" y="858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8</xdr:row>
      <xdr:rowOff>0</xdr:rowOff>
    </xdr:from>
    <xdr:to>
      <xdr:col>11</xdr:col>
      <xdr:colOff>228600</xdr:colOff>
      <xdr:row>10</xdr:row>
      <xdr:rowOff>0</xdr:rowOff>
    </xdr:to>
    <xdr:sp>
      <xdr:nvSpPr>
        <xdr:cNvPr id="163" name="Line 163"/>
        <xdr:cNvSpPr>
          <a:spLocks/>
        </xdr:cNvSpPr>
      </xdr:nvSpPr>
      <xdr:spPr>
        <a:xfrm>
          <a:off x="2638425" y="2238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8</xdr:row>
      <xdr:rowOff>0</xdr:rowOff>
    </xdr:from>
    <xdr:to>
      <xdr:col>19</xdr:col>
      <xdr:colOff>228600</xdr:colOff>
      <xdr:row>10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467225" y="2238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228600</xdr:colOff>
      <xdr:row>8</xdr:row>
      <xdr:rowOff>0</xdr:rowOff>
    </xdr:from>
    <xdr:to>
      <xdr:col>27</xdr:col>
      <xdr:colOff>228600</xdr:colOff>
      <xdr:row>10</xdr:row>
      <xdr:rowOff>0</xdr:rowOff>
    </xdr:to>
    <xdr:sp>
      <xdr:nvSpPr>
        <xdr:cNvPr id="165" name="Line 165"/>
        <xdr:cNvSpPr>
          <a:spLocks/>
        </xdr:cNvSpPr>
      </xdr:nvSpPr>
      <xdr:spPr>
        <a:xfrm>
          <a:off x="6296025" y="2238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</xdr:row>
      <xdr:rowOff>0</xdr:rowOff>
    </xdr:from>
    <xdr:to>
      <xdr:col>35</xdr:col>
      <xdr:colOff>228600</xdr:colOff>
      <xdr:row>10</xdr:row>
      <xdr:rowOff>0</xdr:rowOff>
    </xdr:to>
    <xdr:sp>
      <xdr:nvSpPr>
        <xdr:cNvPr id="166" name="Line 166"/>
        <xdr:cNvSpPr>
          <a:spLocks/>
        </xdr:cNvSpPr>
      </xdr:nvSpPr>
      <xdr:spPr>
        <a:xfrm>
          <a:off x="8124825" y="2238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180975</xdr:rowOff>
    </xdr:from>
    <xdr:to>
      <xdr:col>11</xdr:col>
      <xdr:colOff>0</xdr:colOff>
      <xdr:row>8</xdr:row>
      <xdr:rowOff>180975</xdr:rowOff>
    </xdr:to>
    <xdr:sp>
      <xdr:nvSpPr>
        <xdr:cNvPr id="1" name="Line 10"/>
        <xdr:cNvSpPr>
          <a:spLocks/>
        </xdr:cNvSpPr>
      </xdr:nvSpPr>
      <xdr:spPr>
        <a:xfrm>
          <a:off x="2057400" y="17621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180975</xdr:rowOff>
    </xdr:from>
    <xdr:to>
      <xdr:col>11</xdr:col>
      <xdr:colOff>0</xdr:colOff>
      <xdr:row>14</xdr:row>
      <xdr:rowOff>180975</xdr:rowOff>
    </xdr:to>
    <xdr:sp>
      <xdr:nvSpPr>
        <xdr:cNvPr id="2" name="Line 11"/>
        <xdr:cNvSpPr>
          <a:spLocks/>
        </xdr:cNvSpPr>
      </xdr:nvSpPr>
      <xdr:spPr>
        <a:xfrm>
          <a:off x="2066925" y="29051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</xdr:rowOff>
    </xdr:from>
    <xdr:to>
      <xdr:col>11</xdr:col>
      <xdr:colOff>0</xdr:colOff>
      <xdr:row>21</xdr:row>
      <xdr:rowOff>9525</xdr:rowOff>
    </xdr:to>
    <xdr:sp>
      <xdr:nvSpPr>
        <xdr:cNvPr id="3" name="Line 13"/>
        <xdr:cNvSpPr>
          <a:spLocks/>
        </xdr:cNvSpPr>
      </xdr:nvSpPr>
      <xdr:spPr>
        <a:xfrm>
          <a:off x="2057400" y="40671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180975</xdr:rowOff>
    </xdr:from>
    <xdr:to>
      <xdr:col>10</xdr:col>
      <xdr:colOff>266700</xdr:colOff>
      <xdr:row>26</xdr:row>
      <xdr:rowOff>180975</xdr:rowOff>
    </xdr:to>
    <xdr:sp>
      <xdr:nvSpPr>
        <xdr:cNvPr id="4" name="Line 14"/>
        <xdr:cNvSpPr>
          <a:spLocks/>
        </xdr:cNvSpPr>
      </xdr:nvSpPr>
      <xdr:spPr>
        <a:xfrm>
          <a:off x="2047875" y="51911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9525</xdr:rowOff>
    </xdr:from>
    <xdr:to>
      <xdr:col>10</xdr:col>
      <xdr:colOff>257175</xdr:colOff>
      <xdr:row>33</xdr:row>
      <xdr:rowOff>9525</xdr:rowOff>
    </xdr:to>
    <xdr:sp>
      <xdr:nvSpPr>
        <xdr:cNvPr id="5" name="Line 15"/>
        <xdr:cNvSpPr>
          <a:spLocks/>
        </xdr:cNvSpPr>
      </xdr:nvSpPr>
      <xdr:spPr>
        <a:xfrm>
          <a:off x="2066925" y="63531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6</xdr:row>
      <xdr:rowOff>9525</xdr:rowOff>
    </xdr:from>
    <xdr:to>
      <xdr:col>25</xdr:col>
      <xdr:colOff>9525</xdr:colOff>
      <xdr:row>18</xdr:row>
      <xdr:rowOff>9525</xdr:rowOff>
    </xdr:to>
    <xdr:sp>
      <xdr:nvSpPr>
        <xdr:cNvPr id="6" name="Line 17"/>
        <xdr:cNvSpPr>
          <a:spLocks/>
        </xdr:cNvSpPr>
      </xdr:nvSpPr>
      <xdr:spPr>
        <a:xfrm>
          <a:off x="6762750" y="120967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6</xdr:row>
      <xdr:rowOff>0</xdr:rowOff>
    </xdr:from>
    <xdr:to>
      <xdr:col>22</xdr:col>
      <xdr:colOff>266700</xdr:colOff>
      <xdr:row>12</xdr:row>
      <xdr:rowOff>0</xdr:rowOff>
    </xdr:to>
    <xdr:sp>
      <xdr:nvSpPr>
        <xdr:cNvPr id="7" name="Line 18"/>
        <xdr:cNvSpPr>
          <a:spLocks/>
        </xdr:cNvSpPr>
      </xdr:nvSpPr>
      <xdr:spPr>
        <a:xfrm>
          <a:off x="6191250" y="12001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11</xdr:row>
      <xdr:rowOff>104775</xdr:rowOff>
    </xdr:from>
    <xdr:to>
      <xdr:col>22</xdr:col>
      <xdr:colOff>28575</xdr:colOff>
      <xdr:row>12</xdr:row>
      <xdr:rowOff>85725</xdr:rowOff>
    </xdr:to>
    <xdr:sp>
      <xdr:nvSpPr>
        <xdr:cNvPr id="8" name="AutoShape 22"/>
        <xdr:cNvSpPr>
          <a:spLocks/>
        </xdr:cNvSpPr>
      </xdr:nvSpPr>
      <xdr:spPr>
        <a:xfrm>
          <a:off x="5772150" y="2257425"/>
          <a:ext cx="180975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17</xdr:row>
      <xdr:rowOff>104775</xdr:rowOff>
    </xdr:from>
    <xdr:to>
      <xdr:col>22</xdr:col>
      <xdr:colOff>28575</xdr:colOff>
      <xdr:row>18</xdr:row>
      <xdr:rowOff>85725</xdr:rowOff>
    </xdr:to>
    <xdr:sp>
      <xdr:nvSpPr>
        <xdr:cNvPr id="9" name="AutoShape 23"/>
        <xdr:cNvSpPr>
          <a:spLocks/>
        </xdr:cNvSpPr>
      </xdr:nvSpPr>
      <xdr:spPr>
        <a:xfrm>
          <a:off x="5772150" y="3400425"/>
          <a:ext cx="180975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95250</xdr:colOff>
      <xdr:row>11</xdr:row>
      <xdr:rowOff>85725</xdr:rowOff>
    </xdr:from>
    <xdr:to>
      <xdr:col>21</xdr:col>
      <xdr:colOff>142875</xdr:colOff>
      <xdr:row>11</xdr:row>
      <xdr:rowOff>133350</xdr:rowOff>
    </xdr:to>
    <xdr:sp>
      <xdr:nvSpPr>
        <xdr:cNvPr id="10" name="Line 32"/>
        <xdr:cNvSpPr>
          <a:spLocks/>
        </xdr:cNvSpPr>
      </xdr:nvSpPr>
      <xdr:spPr>
        <a:xfrm flipH="1" flipV="1">
          <a:off x="5743575" y="223837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66675</xdr:rowOff>
    </xdr:from>
    <xdr:to>
      <xdr:col>22</xdr:col>
      <xdr:colOff>47625</xdr:colOff>
      <xdr:row>11</xdr:row>
      <xdr:rowOff>123825</xdr:rowOff>
    </xdr:to>
    <xdr:sp>
      <xdr:nvSpPr>
        <xdr:cNvPr id="11" name="Line 34"/>
        <xdr:cNvSpPr>
          <a:spLocks/>
        </xdr:cNvSpPr>
      </xdr:nvSpPr>
      <xdr:spPr>
        <a:xfrm flipV="1">
          <a:off x="5924550" y="221932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12</xdr:row>
      <xdr:rowOff>66675</xdr:rowOff>
    </xdr:from>
    <xdr:to>
      <xdr:col>21</xdr:col>
      <xdr:colOff>152400</xdr:colOff>
      <xdr:row>12</xdr:row>
      <xdr:rowOff>123825</xdr:rowOff>
    </xdr:to>
    <xdr:sp>
      <xdr:nvSpPr>
        <xdr:cNvPr id="12" name="Line 36"/>
        <xdr:cNvSpPr>
          <a:spLocks/>
        </xdr:cNvSpPr>
      </xdr:nvSpPr>
      <xdr:spPr>
        <a:xfrm flipH="1">
          <a:off x="5753100" y="240982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66675</xdr:rowOff>
    </xdr:from>
    <xdr:to>
      <xdr:col>22</xdr:col>
      <xdr:colOff>47625</xdr:colOff>
      <xdr:row>12</xdr:row>
      <xdr:rowOff>114300</xdr:rowOff>
    </xdr:to>
    <xdr:sp>
      <xdr:nvSpPr>
        <xdr:cNvPr id="13" name="Line 37"/>
        <xdr:cNvSpPr>
          <a:spLocks/>
        </xdr:cNvSpPr>
      </xdr:nvSpPr>
      <xdr:spPr>
        <a:xfrm>
          <a:off x="5924550" y="24098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17</xdr:row>
      <xdr:rowOff>85725</xdr:rowOff>
    </xdr:from>
    <xdr:to>
      <xdr:col>22</xdr:col>
      <xdr:colOff>47625</xdr:colOff>
      <xdr:row>17</xdr:row>
      <xdr:rowOff>123825</xdr:rowOff>
    </xdr:to>
    <xdr:sp>
      <xdr:nvSpPr>
        <xdr:cNvPr id="14" name="Line 39"/>
        <xdr:cNvSpPr>
          <a:spLocks/>
        </xdr:cNvSpPr>
      </xdr:nvSpPr>
      <xdr:spPr>
        <a:xfrm flipV="1">
          <a:off x="5934075" y="3381375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18</xdr:row>
      <xdr:rowOff>57150</xdr:rowOff>
    </xdr:from>
    <xdr:to>
      <xdr:col>21</xdr:col>
      <xdr:colOff>152400</xdr:colOff>
      <xdr:row>18</xdr:row>
      <xdr:rowOff>104775</xdr:rowOff>
    </xdr:to>
    <xdr:sp>
      <xdr:nvSpPr>
        <xdr:cNvPr id="15" name="Line 40"/>
        <xdr:cNvSpPr>
          <a:spLocks/>
        </xdr:cNvSpPr>
      </xdr:nvSpPr>
      <xdr:spPr>
        <a:xfrm flipH="1">
          <a:off x="5753100" y="35433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66675</xdr:rowOff>
    </xdr:from>
    <xdr:to>
      <xdr:col>22</xdr:col>
      <xdr:colOff>57150</xdr:colOff>
      <xdr:row>18</xdr:row>
      <xdr:rowOff>114300</xdr:rowOff>
    </xdr:to>
    <xdr:sp>
      <xdr:nvSpPr>
        <xdr:cNvPr id="16" name="Line 41"/>
        <xdr:cNvSpPr>
          <a:spLocks/>
        </xdr:cNvSpPr>
      </xdr:nvSpPr>
      <xdr:spPr>
        <a:xfrm>
          <a:off x="5924550" y="35528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95250</xdr:colOff>
      <xdr:row>17</xdr:row>
      <xdr:rowOff>95250</xdr:rowOff>
    </xdr:from>
    <xdr:to>
      <xdr:col>21</xdr:col>
      <xdr:colOff>133350</xdr:colOff>
      <xdr:row>17</xdr:row>
      <xdr:rowOff>133350</xdr:rowOff>
    </xdr:to>
    <xdr:sp>
      <xdr:nvSpPr>
        <xdr:cNvPr id="17" name="Line 42"/>
        <xdr:cNvSpPr>
          <a:spLocks/>
        </xdr:cNvSpPr>
      </xdr:nvSpPr>
      <xdr:spPr>
        <a:xfrm flipH="1" flipV="1">
          <a:off x="5743575" y="339090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GWAT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SGP_VA呼び径"/>
      <definedName name="SGP_VA推奨摩擦抵抗"/>
      <definedName name="SGP_VA推奨流速"/>
      <definedName name="SGP_VA摩擦抵抗"/>
      <definedName name="器具給水負荷単位"/>
      <definedName name="同時使用流量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3"/>
  <sheetViews>
    <sheetView showGridLines="0" showRowColHeaders="0" showZeros="0" tabSelected="1" workbookViewId="0" topLeftCell="A1">
      <selection activeCell="F16" sqref="F16"/>
    </sheetView>
  </sheetViews>
  <sheetFormatPr defaultColWidth="9.00390625" defaultRowHeight="13.5"/>
  <cols>
    <col min="1" max="1" width="5.625" style="1" customWidth="1"/>
    <col min="2" max="4" width="7.625" style="1" customWidth="1"/>
    <col min="5" max="6" width="5.625" style="1" customWidth="1"/>
    <col min="7" max="11" width="7.625" style="1" customWidth="1"/>
    <col min="12" max="12" width="3.125" style="1" customWidth="1"/>
    <col min="13" max="14" width="7.625" style="1" customWidth="1"/>
    <col min="15" max="16384" width="9.00390625" style="1" customWidth="1"/>
  </cols>
  <sheetData>
    <row r="1" ht="9.75" customHeight="1" thickBot="1"/>
    <row r="2" spans="2:14" ht="18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8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2:14" ht="18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2:14" ht="18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14" ht="18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2:14" ht="18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2:14" ht="18" customHeight="1">
      <c r="B8" s="5"/>
      <c r="C8" s="6"/>
      <c r="D8" s="6"/>
      <c r="E8" s="379"/>
      <c r="F8" s="379"/>
      <c r="G8" s="379"/>
      <c r="H8" s="379"/>
      <c r="I8" s="379"/>
      <c r="J8" s="379"/>
      <c r="K8" s="379"/>
      <c r="M8" s="6"/>
      <c r="N8" s="7"/>
    </row>
    <row r="9" spans="2:14" ht="18" customHeight="1">
      <c r="B9" s="5"/>
      <c r="C9" s="6"/>
      <c r="D9" s="6"/>
      <c r="E9" s="380"/>
      <c r="F9" s="380"/>
      <c r="G9" s="380"/>
      <c r="H9" s="380"/>
      <c r="I9" s="380"/>
      <c r="J9" s="380"/>
      <c r="K9" s="380"/>
      <c r="L9" s="6"/>
      <c r="M9" s="6"/>
      <c r="N9" s="7"/>
    </row>
    <row r="10" spans="2:14" ht="18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2:14" ht="18.7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2:14" ht="18" customHeight="1">
      <c r="B12" s="5"/>
      <c r="C12" s="6"/>
      <c r="D12" s="6"/>
      <c r="E12" s="6"/>
      <c r="F12" s="6"/>
      <c r="G12" s="6"/>
      <c r="I12" s="6"/>
      <c r="J12" s="6"/>
      <c r="K12" s="6"/>
      <c r="L12" s="6"/>
      <c r="M12" s="6"/>
      <c r="N12" s="7"/>
    </row>
    <row r="13" spans="2:14" ht="18" customHeight="1">
      <c r="B13" s="5"/>
      <c r="C13" s="6"/>
      <c r="D13" s="6"/>
      <c r="E13" s="6"/>
      <c r="F13" s="6"/>
      <c r="G13" s="6"/>
      <c r="I13" s="6"/>
      <c r="J13" s="6"/>
      <c r="K13" s="6"/>
      <c r="L13" s="6"/>
      <c r="M13" s="6"/>
      <c r="N13" s="7"/>
    </row>
    <row r="14" spans="2:14" ht="18" customHeight="1">
      <c r="B14" s="5"/>
      <c r="C14" s="6"/>
      <c r="D14" s="6"/>
      <c r="E14" s="6"/>
      <c r="F14" s="377" t="s">
        <v>0</v>
      </c>
      <c r="G14" s="377"/>
      <c r="H14" s="377"/>
      <c r="I14" s="377"/>
      <c r="J14" s="377"/>
      <c r="K14" s="6"/>
      <c r="L14" s="6"/>
      <c r="M14" s="6"/>
      <c r="N14" s="7"/>
    </row>
    <row r="15" spans="2:14" ht="18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2:14" ht="18" customHeight="1">
      <c r="B16" s="5"/>
      <c r="C16" s="6"/>
      <c r="D16" s="6"/>
      <c r="E16" s="6"/>
      <c r="F16" s="6"/>
      <c r="G16" s="6"/>
      <c r="H16" s="8"/>
      <c r="I16" s="6"/>
      <c r="J16" s="6"/>
      <c r="K16" s="6"/>
      <c r="L16" s="6"/>
      <c r="M16" s="6"/>
      <c r="N16" s="7"/>
    </row>
    <row r="17" spans="2:14" ht="18" customHeight="1">
      <c r="B17" s="5"/>
      <c r="C17" s="6"/>
      <c r="D17" s="6"/>
      <c r="E17" s="6"/>
      <c r="F17" s="6"/>
      <c r="G17" s="6"/>
      <c r="I17" s="6"/>
      <c r="J17" s="6"/>
      <c r="K17" s="6"/>
      <c r="L17" s="6"/>
      <c r="M17" s="6"/>
      <c r="N17" s="7"/>
    </row>
    <row r="18" spans="2:14" ht="18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2:14" ht="16.5" customHeight="1">
      <c r="B19" s="5"/>
      <c r="C19" s="6"/>
      <c r="D19" s="6"/>
      <c r="E19" s="6"/>
      <c r="F19" s="378" t="s">
        <v>78</v>
      </c>
      <c r="G19" s="378"/>
      <c r="H19" s="378"/>
      <c r="I19" s="378"/>
      <c r="J19" s="378"/>
      <c r="K19" s="6"/>
      <c r="L19" s="6"/>
      <c r="M19" s="6"/>
      <c r="N19" s="7"/>
    </row>
    <row r="20" spans="2:14" ht="16.5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2:14" ht="16.5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2:14" ht="16.5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2:14" ht="18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2:14" ht="18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2:14" ht="18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2:14" ht="18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2:14" ht="18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2:14" ht="18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2:14" ht="18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2:14" ht="18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2:14" ht="18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spans="2:14" ht="18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2:14" ht="19.5" customHeight="1">
      <c r="B33" s="5"/>
      <c r="C33" s="6"/>
      <c r="D33" s="6"/>
      <c r="E33" s="381"/>
      <c r="F33" s="382"/>
      <c r="G33" s="382"/>
      <c r="H33" s="382"/>
      <c r="I33" s="382"/>
      <c r="J33" s="382"/>
      <c r="K33" s="383"/>
      <c r="L33" s="6"/>
      <c r="M33" s="6"/>
      <c r="N33" s="7"/>
    </row>
    <row r="34" spans="2:14" ht="19.5" customHeight="1">
      <c r="B34" s="5"/>
      <c r="C34" s="6"/>
      <c r="D34" s="6"/>
      <c r="E34" s="385" t="s">
        <v>79</v>
      </c>
      <c r="F34" s="386"/>
      <c r="G34" s="384"/>
      <c r="H34" s="384"/>
      <c r="I34" s="384"/>
      <c r="J34" s="384"/>
      <c r="K34" s="384"/>
      <c r="L34" s="6"/>
      <c r="M34" s="6"/>
      <c r="N34" s="7"/>
    </row>
    <row r="35" spans="2:14" ht="18" customHeight="1">
      <c r="B35" s="5"/>
      <c r="C35" s="6"/>
      <c r="D35" s="6"/>
      <c r="E35" s="386"/>
      <c r="F35" s="386"/>
      <c r="G35" s="384"/>
      <c r="H35" s="384"/>
      <c r="I35" s="384"/>
      <c r="J35" s="384"/>
      <c r="K35" s="384"/>
      <c r="L35" s="6"/>
      <c r="M35" s="6"/>
      <c r="N35" s="7"/>
    </row>
    <row r="36" spans="2:14" ht="18" customHeight="1">
      <c r="B36" s="5"/>
      <c r="C36" s="6"/>
      <c r="D36" s="6"/>
      <c r="E36" s="386"/>
      <c r="F36" s="386"/>
      <c r="G36" s="384"/>
      <c r="H36" s="384"/>
      <c r="I36" s="384"/>
      <c r="J36" s="384"/>
      <c r="K36" s="384"/>
      <c r="L36" s="6"/>
      <c r="M36" s="6"/>
      <c r="N36" s="7"/>
    </row>
    <row r="37" spans="2:14" ht="18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2:14" ht="18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</row>
    <row r="39" spans="2:14" ht="18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</row>
    <row r="40" spans="2:14" ht="18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</row>
    <row r="41" spans="2:14" ht="18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</row>
    <row r="42" spans="2:14" ht="18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</row>
    <row r="43" spans="2:14" ht="18" customHeight="1" thickBot="1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</row>
  </sheetData>
  <mergeCells count="10">
    <mergeCell ref="J34:J36"/>
    <mergeCell ref="K34:K36"/>
    <mergeCell ref="E34:F36"/>
    <mergeCell ref="G34:G36"/>
    <mergeCell ref="H34:H36"/>
    <mergeCell ref="I34:I36"/>
    <mergeCell ref="F14:J14"/>
    <mergeCell ref="F19:J19"/>
    <mergeCell ref="E8:K9"/>
    <mergeCell ref="E33:K3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6"/>
  <sheetViews>
    <sheetView showGridLines="0" showRowColHeaders="0" showZeros="0" workbookViewId="0" topLeftCell="A1">
      <selection activeCell="G23" sqref="G23:H23"/>
    </sheetView>
  </sheetViews>
  <sheetFormatPr defaultColWidth="9.00390625" defaultRowHeight="13.5"/>
  <cols>
    <col min="1" max="1" width="1.625" style="21" customWidth="1"/>
    <col min="2" max="2" width="5.625" style="21" customWidth="1"/>
    <col min="3" max="3" width="17.625" style="22" customWidth="1"/>
    <col min="4" max="8" width="14.125" style="21" customWidth="1"/>
    <col min="9" max="9" width="1.625" style="21" customWidth="1"/>
    <col min="10" max="16384" width="9.00390625" style="21" customWidth="1"/>
  </cols>
  <sheetData>
    <row r="1" ht="9.75" customHeight="1" thickBot="1"/>
    <row r="2" spans="2:8" ht="24.75" customHeight="1">
      <c r="B2" s="51"/>
      <c r="C2" s="334" t="s">
        <v>160</v>
      </c>
      <c r="D2" s="334"/>
      <c r="E2" s="334"/>
      <c r="F2" s="334"/>
      <c r="G2" s="334"/>
      <c r="H2" s="335"/>
    </row>
    <row r="3" spans="2:11" ht="13.5" customHeight="1">
      <c r="B3" s="349" t="s">
        <v>161</v>
      </c>
      <c r="C3" s="390" t="s">
        <v>164</v>
      </c>
      <c r="D3" s="357" t="s">
        <v>165</v>
      </c>
      <c r="E3" s="331"/>
      <c r="F3" s="357" t="s">
        <v>166</v>
      </c>
      <c r="G3" s="331"/>
      <c r="H3" s="336" t="s">
        <v>167</v>
      </c>
      <c r="J3" s="15"/>
      <c r="K3" s="16" t="s">
        <v>31</v>
      </c>
    </row>
    <row r="4" spans="2:11" ht="13.5" customHeight="1">
      <c r="B4" s="350"/>
      <c r="C4" s="371"/>
      <c r="D4" s="352"/>
      <c r="E4" s="332"/>
      <c r="F4" s="352"/>
      <c r="G4" s="332"/>
      <c r="H4" s="337"/>
      <c r="J4" s="17"/>
      <c r="K4" s="16" t="s">
        <v>33</v>
      </c>
    </row>
    <row r="5" spans="2:11" ht="13.5" customHeight="1">
      <c r="B5" s="350"/>
      <c r="C5" s="372"/>
      <c r="D5" s="344"/>
      <c r="E5" s="333"/>
      <c r="F5" s="344"/>
      <c r="G5" s="333"/>
      <c r="H5" s="154" t="s">
        <v>168</v>
      </c>
      <c r="J5" s="12"/>
      <c r="K5" s="52" t="s">
        <v>80</v>
      </c>
    </row>
    <row r="6" spans="2:11" ht="21" customHeight="1">
      <c r="B6" s="350"/>
      <c r="C6" s="166"/>
      <c r="D6" s="325" t="s">
        <v>169</v>
      </c>
      <c r="E6" s="326"/>
      <c r="F6" s="329" t="s">
        <v>170</v>
      </c>
      <c r="G6" s="330"/>
      <c r="H6" s="192">
        <f>ROUNDUP(J5*J6*J7,0)</f>
        <v>0</v>
      </c>
      <c r="J6" s="12"/>
      <c r="K6" s="52" t="s">
        <v>56</v>
      </c>
    </row>
    <row r="7" spans="2:12" ht="21" customHeight="1">
      <c r="B7" s="350"/>
      <c r="C7" s="167"/>
      <c r="D7" s="327"/>
      <c r="E7" s="328"/>
      <c r="F7" s="327"/>
      <c r="G7" s="328"/>
      <c r="H7" s="193"/>
      <c r="J7" s="12"/>
      <c r="K7" s="52" t="s">
        <v>57</v>
      </c>
      <c r="L7" s="32"/>
    </row>
    <row r="8" spans="2:11" ht="21" customHeight="1">
      <c r="B8" s="350"/>
      <c r="C8" s="167"/>
      <c r="D8" s="327"/>
      <c r="E8" s="328"/>
      <c r="F8" s="327"/>
      <c r="G8" s="328"/>
      <c r="H8" s="193"/>
      <c r="J8" s="31" t="s">
        <v>82</v>
      </c>
      <c r="K8" s="31"/>
    </row>
    <row r="9" spans="2:11" ht="21" customHeight="1">
      <c r="B9" s="350"/>
      <c r="C9" s="167"/>
      <c r="D9" s="327"/>
      <c r="E9" s="328"/>
      <c r="F9" s="327"/>
      <c r="G9" s="328"/>
      <c r="H9" s="193"/>
      <c r="J9" s="338" t="s">
        <v>81</v>
      </c>
      <c r="K9" s="338"/>
    </row>
    <row r="10" spans="2:11" ht="21" customHeight="1">
      <c r="B10" s="350"/>
      <c r="C10" s="168"/>
      <c r="D10" s="346"/>
      <c r="E10" s="347"/>
      <c r="F10" s="346"/>
      <c r="G10" s="347"/>
      <c r="H10" s="194"/>
      <c r="J10" s="388" t="s">
        <v>83</v>
      </c>
      <c r="K10" s="388"/>
    </row>
    <row r="11" spans="2:11" ht="15" customHeight="1">
      <c r="B11" s="350"/>
      <c r="C11" s="390" t="s">
        <v>164</v>
      </c>
      <c r="D11" s="390" t="s">
        <v>167</v>
      </c>
      <c r="E11" s="373" t="s">
        <v>212</v>
      </c>
      <c r="F11" s="63" t="s">
        <v>171</v>
      </c>
      <c r="G11" s="373" t="s">
        <v>172</v>
      </c>
      <c r="H11" s="69" t="s">
        <v>173</v>
      </c>
      <c r="J11" s="388" t="s">
        <v>84</v>
      </c>
      <c r="K11" s="388"/>
    </row>
    <row r="12" spans="2:11" ht="15" customHeight="1">
      <c r="B12" s="350"/>
      <c r="C12" s="371"/>
      <c r="D12" s="371"/>
      <c r="E12" s="374"/>
      <c r="F12" s="60" t="s">
        <v>34</v>
      </c>
      <c r="G12" s="374"/>
      <c r="H12" s="153" t="s">
        <v>213</v>
      </c>
      <c r="J12" s="387" t="s">
        <v>85</v>
      </c>
      <c r="K12" s="387"/>
    </row>
    <row r="13" spans="2:8" ht="15" customHeight="1">
      <c r="B13" s="350"/>
      <c r="C13" s="372"/>
      <c r="D13" s="61" t="s">
        <v>168</v>
      </c>
      <c r="E13" s="61" t="s">
        <v>174</v>
      </c>
      <c r="F13" s="61" t="s">
        <v>35</v>
      </c>
      <c r="G13" s="61" t="s">
        <v>36</v>
      </c>
      <c r="H13" s="154" t="s">
        <v>37</v>
      </c>
    </row>
    <row r="14" spans="2:8" ht="16.5" customHeight="1">
      <c r="B14" s="350"/>
      <c r="C14" s="169">
        <f>C6</f>
        <v>0</v>
      </c>
      <c r="D14" s="185">
        <f>H6</f>
        <v>0</v>
      </c>
      <c r="E14" s="166"/>
      <c r="F14" s="186">
        <f>D14*E14</f>
        <v>0</v>
      </c>
      <c r="G14" s="171"/>
      <c r="H14" s="187">
        <f>IF(ISBLANK(G14),"",ROUND(F14/G14,0))</f>
      </c>
    </row>
    <row r="15" spans="2:8" ht="16.5" customHeight="1">
      <c r="B15" s="350"/>
      <c r="C15" s="172">
        <f>C7</f>
        <v>0</v>
      </c>
      <c r="D15" s="188">
        <f>H7</f>
        <v>0</v>
      </c>
      <c r="E15" s="167"/>
      <c r="F15" s="189">
        <f>D15*E15</f>
        <v>0</v>
      </c>
      <c r="G15" s="173"/>
      <c r="H15" s="187">
        <f>IF(ISBLANK(G15),"",ROUND(F15/G15,0))</f>
      </c>
    </row>
    <row r="16" spans="2:8" ht="16.5" customHeight="1">
      <c r="B16" s="350"/>
      <c r="C16" s="172">
        <f>C8</f>
        <v>0</v>
      </c>
      <c r="D16" s="188">
        <f>H8</f>
        <v>0</v>
      </c>
      <c r="E16" s="167"/>
      <c r="F16" s="189">
        <f>D16*E16</f>
        <v>0</v>
      </c>
      <c r="G16" s="173"/>
      <c r="H16" s="187">
        <f>IF(ISBLANK(G16),"",ROUND(F16/G16,0))</f>
      </c>
    </row>
    <row r="17" spans="2:8" ht="16.5" customHeight="1">
      <c r="B17" s="350"/>
      <c r="C17" s="172">
        <f>C9</f>
        <v>0</v>
      </c>
      <c r="D17" s="188">
        <f>H9</f>
        <v>0</v>
      </c>
      <c r="E17" s="167"/>
      <c r="F17" s="189">
        <f>D17*E17</f>
        <v>0</v>
      </c>
      <c r="G17" s="173"/>
      <c r="H17" s="187">
        <f>IF(ISBLANK(G17),"",ROUND(F17/G17,0))</f>
      </c>
    </row>
    <row r="18" spans="2:8" ht="16.5" customHeight="1">
      <c r="B18" s="350"/>
      <c r="C18" s="174">
        <f>C10</f>
        <v>0</v>
      </c>
      <c r="D18" s="188">
        <f>H10</f>
        <v>0</v>
      </c>
      <c r="E18" s="168"/>
      <c r="F18" s="190">
        <f>D18*E18</f>
        <v>0</v>
      </c>
      <c r="G18" s="175"/>
      <c r="H18" s="191">
        <f>IF(ISBLANK(G18),"",ROUND(F18/G18,0))</f>
      </c>
    </row>
    <row r="19" spans="2:8" ht="24.75" customHeight="1">
      <c r="B19" s="351"/>
      <c r="C19" s="176"/>
      <c r="D19" s="177"/>
      <c r="E19" s="177"/>
      <c r="F19" s="178"/>
      <c r="G19" s="161" t="s">
        <v>175</v>
      </c>
      <c r="H19" s="195">
        <f>SUM(H14:H18)</f>
        <v>0</v>
      </c>
    </row>
    <row r="20" spans="2:12" ht="15" customHeight="1">
      <c r="B20" s="363" t="s">
        <v>162</v>
      </c>
      <c r="C20" s="390" t="s">
        <v>176</v>
      </c>
      <c r="D20" s="390" t="s">
        <v>177</v>
      </c>
      <c r="E20" s="63" t="s">
        <v>178</v>
      </c>
      <c r="F20" s="390" t="s">
        <v>179</v>
      </c>
      <c r="G20" s="357" t="s">
        <v>180</v>
      </c>
      <c r="H20" s="358"/>
      <c r="J20" s="387" t="s">
        <v>86</v>
      </c>
      <c r="K20" s="387"/>
      <c r="L20" s="387"/>
    </row>
    <row r="21" spans="2:15" ht="15" customHeight="1">
      <c r="B21" s="364"/>
      <c r="C21" s="371"/>
      <c r="D21" s="371"/>
      <c r="E21" s="60" t="s">
        <v>181</v>
      </c>
      <c r="F21" s="371"/>
      <c r="G21" s="352" t="s">
        <v>87</v>
      </c>
      <c r="H21" s="343"/>
      <c r="J21" s="388" t="s">
        <v>88</v>
      </c>
      <c r="K21" s="388"/>
      <c r="L21" s="388"/>
      <c r="M21" s="388"/>
      <c r="N21" s="388"/>
      <c r="O21" s="388"/>
    </row>
    <row r="22" spans="2:8" ht="15" customHeight="1">
      <c r="B22" s="364"/>
      <c r="C22" s="372"/>
      <c r="D22" s="61" t="s">
        <v>182</v>
      </c>
      <c r="E22" s="61" t="s">
        <v>183</v>
      </c>
      <c r="F22" s="61" t="s">
        <v>184</v>
      </c>
      <c r="G22" s="344" t="s">
        <v>185</v>
      </c>
      <c r="H22" s="345"/>
    </row>
    <row r="23" spans="2:17" ht="16.5" customHeight="1">
      <c r="B23" s="364"/>
      <c r="C23" s="180"/>
      <c r="D23" s="169">
        <f>L23</f>
        <v>0</v>
      </c>
      <c r="E23" s="196">
        <f>IF(ISBLANK(C23),"",VLOOKUP(C23,$N$23:$Q$28,3,FALSE))</f>
      </c>
      <c r="F23" s="196">
        <f>IF(ISBLANK(C23),"",VLOOKUP(C23,$N$23:$Q$28,4,FALSE))</f>
      </c>
      <c r="G23" s="359">
        <f>IF(ISBLANK(C23),"",ROUNDUP(60*D23*E23*F23,0))</f>
      </c>
      <c r="H23" s="360"/>
      <c r="J23" s="12"/>
      <c r="K23" s="21" t="s">
        <v>89</v>
      </c>
      <c r="L23" s="13">
        <f>ROUNDUP(J23*200/3024,-1)</f>
        <v>0</v>
      </c>
      <c r="M23" s="16"/>
      <c r="N23" s="16" t="s">
        <v>90</v>
      </c>
      <c r="O23" s="16"/>
      <c r="P23" s="16">
        <v>13</v>
      </c>
      <c r="Q23" s="16">
        <v>0.01</v>
      </c>
    </row>
    <row r="24" spans="2:17" ht="16.5" customHeight="1">
      <c r="B24" s="364"/>
      <c r="C24" s="181"/>
      <c r="D24" s="172">
        <f>L24</f>
        <v>0</v>
      </c>
      <c r="E24" s="197">
        <f>IF(ISBLANK(C24),"",VLOOKUP(C24,$N$23:$Q$28,3,FALSE))</f>
      </c>
      <c r="F24" s="197">
        <f>IF(ISBLANK(C24),"",VLOOKUP(C24,$N$23:$Q$28,4,FALSE))</f>
      </c>
      <c r="G24" s="361">
        <f>IF(ISBLANK(C24),"",ROUNDUP(60*D24*E24*F24,0))</f>
      </c>
      <c r="H24" s="362"/>
      <c r="J24" s="12"/>
      <c r="K24" s="21" t="s">
        <v>91</v>
      </c>
      <c r="L24" s="13">
        <f>J24*200/3024</f>
        <v>0</v>
      </c>
      <c r="M24" s="16"/>
      <c r="N24" s="16" t="s">
        <v>92</v>
      </c>
      <c r="O24" s="16"/>
      <c r="P24" s="16">
        <v>17</v>
      </c>
      <c r="Q24" s="16">
        <v>0.015</v>
      </c>
    </row>
    <row r="25" spans="2:17" ht="16.5" customHeight="1">
      <c r="B25" s="364"/>
      <c r="C25" s="182"/>
      <c r="D25" s="174">
        <f>L25</f>
        <v>0</v>
      </c>
      <c r="E25" s="198">
        <f>IF(ISBLANK(C25),"",VLOOKUP(C25,$N$23:$Q$28,3,FALSE))</f>
      </c>
      <c r="F25" s="198">
        <f>IF(ISBLANK(C25),"",VLOOKUP(C25,$N$23:$Q$28,4,FALSE))</f>
      </c>
      <c r="G25" s="354">
        <f>IF(ISBLANK(C25),"",ROUNDUP(60*D25*E25*F25,0))</f>
      </c>
      <c r="H25" s="355"/>
      <c r="J25" s="12"/>
      <c r="K25" s="21" t="s">
        <v>93</v>
      </c>
      <c r="L25" s="13">
        <f>J25*200/3024</f>
        <v>0</v>
      </c>
      <c r="M25" s="16"/>
      <c r="N25" s="16" t="s">
        <v>58</v>
      </c>
      <c r="O25" s="16"/>
      <c r="P25" s="16">
        <v>17</v>
      </c>
      <c r="Q25" s="16">
        <v>0.01</v>
      </c>
    </row>
    <row r="26" spans="2:17" ht="24.75" customHeight="1">
      <c r="B26" s="348"/>
      <c r="C26" s="176"/>
      <c r="D26" s="177"/>
      <c r="E26" s="177"/>
      <c r="F26" s="183" t="s">
        <v>186</v>
      </c>
      <c r="G26" s="356">
        <f>SUM(G23:H25)</f>
        <v>0</v>
      </c>
      <c r="H26" s="353"/>
      <c r="L26" s="16"/>
      <c r="M26" s="16"/>
      <c r="N26" s="16" t="s">
        <v>94</v>
      </c>
      <c r="O26" s="16"/>
      <c r="P26" s="16">
        <v>17</v>
      </c>
      <c r="Q26" s="16">
        <v>0.01</v>
      </c>
    </row>
    <row r="27" spans="2:17" ht="15" customHeight="1">
      <c r="B27" s="363" t="s">
        <v>163</v>
      </c>
      <c r="C27" s="390" t="s">
        <v>187</v>
      </c>
      <c r="D27" s="373" t="s">
        <v>188</v>
      </c>
      <c r="E27" s="373" t="s">
        <v>189</v>
      </c>
      <c r="F27" s="373" t="s">
        <v>190</v>
      </c>
      <c r="G27" s="373" t="s">
        <v>191</v>
      </c>
      <c r="H27" s="366" t="s">
        <v>192</v>
      </c>
      <c r="L27" s="16"/>
      <c r="M27" s="16"/>
      <c r="N27" s="16" t="s">
        <v>95</v>
      </c>
      <c r="O27" s="16"/>
      <c r="P27" s="16">
        <v>17</v>
      </c>
      <c r="Q27" s="16">
        <v>0.01</v>
      </c>
    </row>
    <row r="28" spans="2:17" ht="15" customHeight="1">
      <c r="B28" s="364"/>
      <c r="C28" s="371"/>
      <c r="D28" s="374"/>
      <c r="E28" s="374"/>
      <c r="F28" s="374"/>
      <c r="G28" s="374"/>
      <c r="H28" s="367"/>
      <c r="L28" s="16"/>
      <c r="M28" s="16"/>
      <c r="N28" s="16" t="s">
        <v>59</v>
      </c>
      <c r="O28" s="16"/>
      <c r="P28" s="16">
        <v>17</v>
      </c>
      <c r="Q28" s="16">
        <v>0.01</v>
      </c>
    </row>
    <row r="29" spans="2:15" ht="15" customHeight="1">
      <c r="B29" s="364"/>
      <c r="C29" s="372"/>
      <c r="D29" s="61" t="s">
        <v>193</v>
      </c>
      <c r="E29" s="61" t="s">
        <v>194</v>
      </c>
      <c r="F29" s="61" t="s">
        <v>195</v>
      </c>
      <c r="G29" s="61" t="s">
        <v>196</v>
      </c>
      <c r="H29" s="154" t="s">
        <v>197</v>
      </c>
      <c r="N29" s="389"/>
      <c r="O29" s="389"/>
    </row>
    <row r="30" spans="2:8" ht="24.75" customHeight="1">
      <c r="B30" s="364"/>
      <c r="C30" s="60" t="s">
        <v>198</v>
      </c>
      <c r="D30" s="199">
        <f>H19</f>
        <v>0</v>
      </c>
      <c r="E30" s="60">
        <v>2</v>
      </c>
      <c r="F30" s="199">
        <f>D30*E30</f>
        <v>0</v>
      </c>
      <c r="G30" s="60">
        <v>1.5</v>
      </c>
      <c r="H30" s="153">
        <f>ROUND((F30*G30)/60,0)</f>
        <v>0</v>
      </c>
    </row>
    <row r="31" spans="2:8" ht="15" customHeight="1">
      <c r="B31" s="364"/>
      <c r="C31" s="390" t="s">
        <v>187</v>
      </c>
      <c r="D31" s="373" t="s">
        <v>199</v>
      </c>
      <c r="E31" s="373" t="s">
        <v>189</v>
      </c>
      <c r="F31" s="373" t="s">
        <v>200</v>
      </c>
      <c r="G31" s="390"/>
      <c r="H31" s="375" t="s">
        <v>201</v>
      </c>
    </row>
    <row r="32" spans="2:8" ht="15" customHeight="1">
      <c r="B32" s="364"/>
      <c r="C32" s="371"/>
      <c r="D32" s="374"/>
      <c r="E32" s="374"/>
      <c r="F32" s="374"/>
      <c r="G32" s="371"/>
      <c r="H32" s="376"/>
    </row>
    <row r="33" spans="2:8" ht="15" customHeight="1">
      <c r="B33" s="364"/>
      <c r="C33" s="372"/>
      <c r="D33" s="61" t="s">
        <v>38</v>
      </c>
      <c r="E33" s="61" t="s">
        <v>202</v>
      </c>
      <c r="F33" s="61" t="s">
        <v>203</v>
      </c>
      <c r="G33" s="372"/>
      <c r="H33" s="154" t="s">
        <v>39</v>
      </c>
    </row>
    <row r="34" spans="2:8" ht="24.75" customHeight="1">
      <c r="B34" s="364"/>
      <c r="C34" s="60" t="s">
        <v>204</v>
      </c>
      <c r="D34" s="60">
        <f>G26</f>
        <v>0</v>
      </c>
      <c r="E34" s="60">
        <v>1.5</v>
      </c>
      <c r="F34" s="199">
        <f>D34*E34</f>
        <v>0</v>
      </c>
      <c r="G34" s="60"/>
      <c r="H34" s="153">
        <f>ROUND(F34/60,0)</f>
        <v>0</v>
      </c>
    </row>
    <row r="35" spans="2:12" ht="15" customHeight="1">
      <c r="B35" s="364"/>
      <c r="C35" s="390" t="s">
        <v>187</v>
      </c>
      <c r="D35" s="373" t="s">
        <v>205</v>
      </c>
      <c r="E35" s="373" t="s">
        <v>189</v>
      </c>
      <c r="F35" s="373" t="s">
        <v>206</v>
      </c>
      <c r="G35" s="373" t="s">
        <v>191</v>
      </c>
      <c r="H35" s="375" t="s">
        <v>207</v>
      </c>
      <c r="J35" s="387" t="s">
        <v>96</v>
      </c>
      <c r="K35" s="387"/>
      <c r="L35" s="387"/>
    </row>
    <row r="36" spans="2:14" ht="15" customHeight="1">
      <c r="B36" s="364"/>
      <c r="C36" s="372"/>
      <c r="D36" s="374"/>
      <c r="E36" s="374"/>
      <c r="F36" s="374"/>
      <c r="G36" s="374"/>
      <c r="H36" s="376"/>
      <c r="J36" s="388" t="s">
        <v>97</v>
      </c>
      <c r="K36" s="388"/>
      <c r="L36" s="388"/>
      <c r="M36" s="388"/>
      <c r="N36" s="388"/>
    </row>
    <row r="37" spans="2:14" ht="16.5" customHeight="1">
      <c r="B37" s="364"/>
      <c r="C37" s="180"/>
      <c r="D37" s="200">
        <f>IF($C$37="自家発電機",L37,"")</f>
      </c>
      <c r="E37" s="201">
        <f>IF($C$37="自家発電機",1,"")</f>
      </c>
      <c r="F37" s="202">
        <f>IF(ISBLANK($C$37),"",D37*E37)</f>
      </c>
      <c r="G37" s="169">
        <f>IF($C$37="自家発電機",1,"")</f>
      </c>
      <c r="H37" s="203">
        <f>IF(ISBLANK(C37),"",ROUND(F37*G37/60,0))</f>
      </c>
      <c r="J37" s="12"/>
      <c r="K37" s="16" t="s">
        <v>98</v>
      </c>
      <c r="L37" s="53">
        <f>40*J37</f>
        <v>0</v>
      </c>
      <c r="N37" s="21" t="s">
        <v>99</v>
      </c>
    </row>
    <row r="38" spans="2:11" ht="16.5" customHeight="1">
      <c r="B38" s="364"/>
      <c r="C38" s="181"/>
      <c r="D38" s="204">
        <f>IF($C$38="プール",L41,"")</f>
      </c>
      <c r="E38" s="172">
        <f>IF($C$38="プール",1,"")</f>
      </c>
      <c r="F38" s="205">
        <f>IF(ISBLANK($C$38),"",D38*E38)</f>
      </c>
      <c r="G38" s="172">
        <f>IF($C$38="プール",1,"")</f>
      </c>
      <c r="H38" s="206">
        <f>IF(ISBLANK(C38),"",ROUND(F38*G38/60,0))</f>
      </c>
      <c r="J38" s="387" t="s">
        <v>100</v>
      </c>
      <c r="K38" s="387"/>
    </row>
    <row r="39" spans="2:14" ht="16.5" customHeight="1">
      <c r="B39" s="364"/>
      <c r="C39" s="167"/>
      <c r="D39" s="76"/>
      <c r="E39" s="76"/>
      <c r="F39" s="76"/>
      <c r="G39" s="76"/>
      <c r="H39" s="207"/>
      <c r="J39" s="388" t="s">
        <v>32</v>
      </c>
      <c r="K39" s="388"/>
      <c r="L39" s="388"/>
      <c r="M39" s="388"/>
      <c r="N39" s="21" t="s">
        <v>101</v>
      </c>
    </row>
    <row r="40" spans="2:13" ht="16.5" customHeight="1">
      <c r="B40" s="364"/>
      <c r="C40" s="167"/>
      <c r="D40" s="76"/>
      <c r="E40" s="76"/>
      <c r="F40" s="76"/>
      <c r="G40" s="76"/>
      <c r="H40" s="207"/>
      <c r="J40" s="388" t="s">
        <v>102</v>
      </c>
      <c r="K40" s="388"/>
      <c r="L40" s="16"/>
      <c r="M40" s="16"/>
    </row>
    <row r="41" spans="2:12" ht="16.5" customHeight="1">
      <c r="B41" s="364"/>
      <c r="C41" s="168"/>
      <c r="D41" s="208"/>
      <c r="E41" s="208"/>
      <c r="F41" s="208"/>
      <c r="G41" s="208"/>
      <c r="H41" s="209"/>
      <c r="J41" s="14"/>
      <c r="K41" s="16" t="s">
        <v>103</v>
      </c>
      <c r="L41" s="54">
        <f>ROUND(J41*0.2/24,0)</f>
        <v>0</v>
      </c>
    </row>
    <row r="42" spans="2:8" ht="15" customHeight="1">
      <c r="B42" s="364"/>
      <c r="C42" s="368"/>
      <c r="D42" s="373" t="s">
        <v>208</v>
      </c>
      <c r="E42" s="60"/>
      <c r="F42" s="373" t="s">
        <v>209</v>
      </c>
      <c r="G42" s="60"/>
      <c r="H42" s="366" t="s">
        <v>210</v>
      </c>
    </row>
    <row r="43" spans="2:8" ht="15" customHeight="1">
      <c r="B43" s="364"/>
      <c r="C43" s="369"/>
      <c r="D43" s="374"/>
      <c r="E43" s="60"/>
      <c r="F43" s="374"/>
      <c r="G43" s="60"/>
      <c r="H43" s="367"/>
    </row>
    <row r="44" spans="2:14" ht="15" customHeight="1">
      <c r="B44" s="364"/>
      <c r="C44" s="369"/>
      <c r="D44" s="60" t="s">
        <v>40</v>
      </c>
      <c r="E44" s="60"/>
      <c r="F44" s="60" t="s">
        <v>41</v>
      </c>
      <c r="G44" s="60"/>
      <c r="H44" s="153" t="s">
        <v>42</v>
      </c>
      <c r="N44" s="43"/>
    </row>
    <row r="45" spans="2:14" ht="15" customHeight="1">
      <c r="B45" s="364"/>
      <c r="C45" s="370"/>
      <c r="D45" s="60" t="s">
        <v>43</v>
      </c>
      <c r="E45" s="60"/>
      <c r="F45" s="60" t="s">
        <v>44</v>
      </c>
      <c r="G45" s="60"/>
      <c r="H45" s="153" t="s">
        <v>45</v>
      </c>
      <c r="N45" s="43"/>
    </row>
    <row r="46" spans="2:8" ht="24.75" customHeight="1" thickBot="1">
      <c r="B46" s="365"/>
      <c r="C46" s="184" t="s">
        <v>211</v>
      </c>
      <c r="D46" s="210">
        <f>SUM(D30,D34,D37:D41)</f>
        <v>0</v>
      </c>
      <c r="E46" s="210"/>
      <c r="F46" s="210">
        <f>SUM(F30,F34,F37:F41)</f>
        <v>0</v>
      </c>
      <c r="G46" s="210"/>
      <c r="H46" s="211">
        <f>SUM(H30,H34,H37:H41)</f>
        <v>0</v>
      </c>
    </row>
  </sheetData>
  <sheetProtection password="E916" sheet="1" objects="1" scenarios="1" selectLockedCells="1" selectUnlockedCells="1"/>
  <mergeCells count="66">
    <mergeCell ref="J9:K9"/>
    <mergeCell ref="J10:K10"/>
    <mergeCell ref="J11:K11"/>
    <mergeCell ref="J12:K12"/>
    <mergeCell ref="F3:G5"/>
    <mergeCell ref="C2:H2"/>
    <mergeCell ref="D31:D32"/>
    <mergeCell ref="E31:E32"/>
    <mergeCell ref="H3:H4"/>
    <mergeCell ref="D3:E5"/>
    <mergeCell ref="C11:C13"/>
    <mergeCell ref="D11:D12"/>
    <mergeCell ref="E11:E12"/>
    <mergeCell ref="G11:G12"/>
    <mergeCell ref="F6:G6"/>
    <mergeCell ref="F7:G7"/>
    <mergeCell ref="F8:G8"/>
    <mergeCell ref="F9:G9"/>
    <mergeCell ref="B20:B26"/>
    <mergeCell ref="C20:C22"/>
    <mergeCell ref="D20:D21"/>
    <mergeCell ref="B3:B19"/>
    <mergeCell ref="C3:C5"/>
    <mergeCell ref="D6:E6"/>
    <mergeCell ref="D7:E7"/>
    <mergeCell ref="D8:E8"/>
    <mergeCell ref="D9:E9"/>
    <mergeCell ref="D10:E10"/>
    <mergeCell ref="F20:F21"/>
    <mergeCell ref="G21:H21"/>
    <mergeCell ref="G22:H22"/>
    <mergeCell ref="F10:G10"/>
    <mergeCell ref="C27:C29"/>
    <mergeCell ref="D27:D28"/>
    <mergeCell ref="E27:E28"/>
    <mergeCell ref="F27:F28"/>
    <mergeCell ref="G23:H23"/>
    <mergeCell ref="G20:H20"/>
    <mergeCell ref="G26:H26"/>
    <mergeCell ref="G27:G28"/>
    <mergeCell ref="H27:H28"/>
    <mergeCell ref="G25:H25"/>
    <mergeCell ref="B27:B46"/>
    <mergeCell ref="D42:D43"/>
    <mergeCell ref="F42:F43"/>
    <mergeCell ref="H42:H43"/>
    <mergeCell ref="C42:C45"/>
    <mergeCell ref="E35:E36"/>
    <mergeCell ref="F31:F32"/>
    <mergeCell ref="H31:H32"/>
    <mergeCell ref="C31:C33"/>
    <mergeCell ref="G31:G33"/>
    <mergeCell ref="N29:O29"/>
    <mergeCell ref="J21:O21"/>
    <mergeCell ref="C35:C36"/>
    <mergeCell ref="J35:L35"/>
    <mergeCell ref="J36:N36"/>
    <mergeCell ref="D35:D36"/>
    <mergeCell ref="F35:F36"/>
    <mergeCell ref="G35:G36"/>
    <mergeCell ref="H35:H36"/>
    <mergeCell ref="G24:H24"/>
    <mergeCell ref="J20:L20"/>
    <mergeCell ref="J38:K38"/>
    <mergeCell ref="J39:M39"/>
    <mergeCell ref="J40:K40"/>
  </mergeCells>
  <dataValidations count="3">
    <dataValidation type="list" allowBlank="1" showInputMessage="1" showErrorMessage="1" sqref="C23:C25">
      <formula1>$N$23:$N$28</formula1>
    </dataValidation>
    <dataValidation type="list" allowBlank="1" showInputMessage="1" showErrorMessage="1" sqref="C37">
      <formula1>$N$37:$N$38</formula1>
    </dataValidation>
    <dataValidation type="list" allowBlank="1" showInputMessage="1" showErrorMessage="1" sqref="C38">
      <formula1>$N$39:$N$40</formula1>
    </dataValidation>
  </dataValidations>
  <printOptions/>
  <pageMargins left="0.5905511811023623" right="0.1968503937007874" top="0.984251968503937" bottom="0.1968503937007874" header="0.3937007874015748" footer="0.1968503937007874"/>
  <pageSetup horizontalDpi="600" verticalDpi="600" orientation="portrait" paperSize="9" r:id="rId3"/>
  <headerFooter alignWithMargins="0">
    <oddHeader>&amp;L&amp;"MS UI Gothic,標準"&amp;12&amp;U給 排 水 衛 生 設 備&amp;"ＭＳ Ｐゴシック,標準"&amp;11&amp;U
　　&amp;"MS UI Gothic,標準"給&amp;"ＭＳ Ｐゴシック,標準" &amp;"MS UI Gothic,標準"水 量 計 算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T63"/>
  <sheetViews>
    <sheetView showGridLines="0" showRowColHeaders="0" showZeros="0" zoomScale="110" zoomScaleNormal="110" workbookViewId="0" topLeftCell="A1">
      <selection activeCell="M8" sqref="M8"/>
    </sheetView>
  </sheetViews>
  <sheetFormatPr defaultColWidth="9.00390625" defaultRowHeight="13.5"/>
  <cols>
    <col min="1" max="1" width="1.625" style="21" customWidth="1"/>
    <col min="2" max="2" width="5.125" style="21" customWidth="1"/>
    <col min="3" max="3" width="9.625" style="21" customWidth="1"/>
    <col min="4" max="4" width="8.625" style="21" customWidth="1"/>
    <col min="5" max="5" width="8.125" style="21" customWidth="1"/>
    <col min="6" max="9" width="7.625" style="21" customWidth="1"/>
    <col min="10" max="11" width="9.625" style="21" customWidth="1"/>
    <col min="12" max="12" width="5.625" style="21" customWidth="1"/>
    <col min="13" max="13" width="7.625" style="21" customWidth="1"/>
    <col min="14" max="14" width="2.625" style="21" customWidth="1"/>
    <col min="15" max="16" width="7.625" style="21" customWidth="1"/>
    <col min="17" max="16384" width="9.00390625" style="21" customWidth="1"/>
  </cols>
  <sheetData>
    <row r="1" ht="9.75" customHeight="1" thickBot="1">
      <c r="C1" s="22"/>
    </row>
    <row r="2" spans="2:16" ht="24.75" customHeight="1">
      <c r="B2" s="396" t="s">
        <v>144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  <c r="O2" s="64"/>
      <c r="P2" s="16"/>
    </row>
    <row r="3" spans="2:16" ht="4.5" customHeight="1">
      <c r="B3" s="341" t="s">
        <v>143</v>
      </c>
      <c r="C3" s="390" t="s">
        <v>217</v>
      </c>
      <c r="D3" s="63"/>
      <c r="E3" s="63"/>
      <c r="F3" s="63"/>
      <c r="G3" s="63"/>
      <c r="H3" s="63"/>
      <c r="I3" s="63"/>
      <c r="J3" s="67"/>
      <c r="K3" s="68"/>
      <c r="L3" s="67"/>
      <c r="M3" s="69"/>
      <c r="O3" s="64"/>
      <c r="P3" s="16"/>
    </row>
    <row r="4" spans="2:16" ht="15" customHeight="1">
      <c r="B4" s="342"/>
      <c r="C4" s="371"/>
      <c r="D4" s="321" t="s">
        <v>218</v>
      </c>
      <c r="E4" s="65" t="s">
        <v>219</v>
      </c>
      <c r="F4" s="322" t="s">
        <v>220</v>
      </c>
      <c r="G4" s="399" t="s">
        <v>221</v>
      </c>
      <c r="H4" s="322" t="s">
        <v>222</v>
      </c>
      <c r="I4" s="322" t="s">
        <v>223</v>
      </c>
      <c r="J4" s="352" t="s">
        <v>166</v>
      </c>
      <c r="K4" s="332"/>
      <c r="L4" s="352" t="s">
        <v>224</v>
      </c>
      <c r="M4" s="343"/>
      <c r="O4" s="149"/>
      <c r="P4" s="52" t="s">
        <v>31</v>
      </c>
    </row>
    <row r="5" spans="2:16" ht="15" customHeight="1">
      <c r="B5" s="342"/>
      <c r="C5" s="371"/>
      <c r="D5" s="321"/>
      <c r="E5" s="60" t="s">
        <v>122</v>
      </c>
      <c r="F5" s="322"/>
      <c r="G5" s="399"/>
      <c r="H5" s="322"/>
      <c r="I5" s="322"/>
      <c r="J5" s="352"/>
      <c r="K5" s="332"/>
      <c r="L5" s="352" t="s">
        <v>123</v>
      </c>
      <c r="M5" s="343"/>
      <c r="O5" s="150"/>
      <c r="P5" s="52" t="s">
        <v>104</v>
      </c>
    </row>
    <row r="6" spans="2:16" ht="15" customHeight="1">
      <c r="B6" s="342"/>
      <c r="C6" s="371"/>
      <c r="D6" s="66" t="s">
        <v>116</v>
      </c>
      <c r="E6" s="60" t="s">
        <v>124</v>
      </c>
      <c r="F6" s="57" t="s">
        <v>117</v>
      </c>
      <c r="G6" s="57" t="s">
        <v>54</v>
      </c>
      <c r="H6" s="60" t="s">
        <v>125</v>
      </c>
      <c r="I6" s="60" t="s">
        <v>126</v>
      </c>
      <c r="J6" s="352"/>
      <c r="K6" s="332"/>
      <c r="L6" s="352" t="s">
        <v>127</v>
      </c>
      <c r="M6" s="343"/>
      <c r="O6" s="52"/>
      <c r="P6" s="52"/>
    </row>
    <row r="7" spans="2:16" ht="15" customHeight="1">
      <c r="B7" s="342"/>
      <c r="C7" s="372"/>
      <c r="D7" s="60" t="s">
        <v>118</v>
      </c>
      <c r="E7" s="60" t="s">
        <v>119</v>
      </c>
      <c r="F7" s="57" t="s">
        <v>120</v>
      </c>
      <c r="G7" s="60" t="s">
        <v>51</v>
      </c>
      <c r="H7" s="60" t="s">
        <v>121</v>
      </c>
      <c r="I7" s="60" t="s">
        <v>121</v>
      </c>
      <c r="J7" s="344"/>
      <c r="K7" s="333"/>
      <c r="L7" s="344" t="s">
        <v>132</v>
      </c>
      <c r="M7" s="345"/>
      <c r="O7" s="52"/>
      <c r="P7" s="52"/>
    </row>
    <row r="8" spans="2:16" s="26" customFormat="1" ht="16.5" customHeight="1">
      <c r="B8" s="342"/>
      <c r="C8" s="70" t="s">
        <v>225</v>
      </c>
      <c r="D8" s="212">
        <f>'給水量'!F46</f>
        <v>0</v>
      </c>
      <c r="E8" s="71">
        <v>2</v>
      </c>
      <c r="F8" s="71" t="s">
        <v>46</v>
      </c>
      <c r="G8" s="71" t="s">
        <v>46</v>
      </c>
      <c r="H8" s="71" t="s">
        <v>46</v>
      </c>
      <c r="I8" s="71" t="s">
        <v>46</v>
      </c>
      <c r="J8" s="339" t="s">
        <v>226</v>
      </c>
      <c r="K8" s="340"/>
      <c r="L8" s="101" t="s">
        <v>47</v>
      </c>
      <c r="M8" s="102">
        <f>CEILING(O8,5)</f>
        <v>0</v>
      </c>
      <c r="O8" s="151">
        <f>$D$8*$E$8/1000</f>
        <v>0</v>
      </c>
      <c r="P8" s="27"/>
    </row>
    <row r="9" spans="2:16" s="26" customFormat="1" ht="16.5" customHeight="1">
      <c r="B9" s="342"/>
      <c r="C9" s="58"/>
      <c r="D9" s="76"/>
      <c r="E9" s="76"/>
      <c r="F9" s="76"/>
      <c r="G9" s="76"/>
      <c r="H9" s="76"/>
      <c r="I9" s="76"/>
      <c r="J9" s="323" t="s">
        <v>133</v>
      </c>
      <c r="K9" s="324"/>
      <c r="L9" s="58"/>
      <c r="M9" s="89"/>
      <c r="O9" s="27"/>
      <c r="P9" s="27"/>
    </row>
    <row r="10" spans="2:16" s="26" customFormat="1" ht="16.5" customHeight="1">
      <c r="B10" s="342"/>
      <c r="C10" s="58" t="s">
        <v>227</v>
      </c>
      <c r="D10" s="213">
        <f>'給水量'!F46</f>
        <v>0</v>
      </c>
      <c r="E10" s="76">
        <v>0.5</v>
      </c>
      <c r="F10" s="76" t="s">
        <v>48</v>
      </c>
      <c r="G10" s="76" t="s">
        <v>48</v>
      </c>
      <c r="H10" s="76" t="s">
        <v>48</v>
      </c>
      <c r="I10" s="76" t="s">
        <v>48</v>
      </c>
      <c r="J10" s="323" t="s">
        <v>228</v>
      </c>
      <c r="K10" s="324"/>
      <c r="L10" s="103" t="s">
        <v>49</v>
      </c>
      <c r="M10" s="104">
        <f>CEILING(O10,5)</f>
        <v>0</v>
      </c>
      <c r="O10" s="151">
        <f>$D$10*$E$10/1000</f>
        <v>0</v>
      </c>
      <c r="P10" s="27"/>
    </row>
    <row r="11" spans="2:13" s="26" customFormat="1" ht="16.5" customHeight="1">
      <c r="B11" s="342"/>
      <c r="C11" s="58"/>
      <c r="D11" s="76"/>
      <c r="E11" s="76"/>
      <c r="F11" s="76"/>
      <c r="G11" s="76"/>
      <c r="H11" s="76"/>
      <c r="I11" s="76"/>
      <c r="J11" s="323" t="s">
        <v>134</v>
      </c>
      <c r="K11" s="324"/>
      <c r="L11" s="58"/>
      <c r="M11" s="89"/>
    </row>
    <row r="12" spans="2:13" s="26" customFormat="1" ht="16.5" customHeight="1">
      <c r="B12" s="342"/>
      <c r="C12" s="58"/>
      <c r="D12" s="76"/>
      <c r="E12" s="76"/>
      <c r="F12" s="76"/>
      <c r="G12" s="76"/>
      <c r="H12" s="76"/>
      <c r="I12" s="76"/>
      <c r="J12" s="323" t="s">
        <v>229</v>
      </c>
      <c r="K12" s="324"/>
      <c r="L12" s="58"/>
      <c r="M12" s="89"/>
    </row>
    <row r="13" spans="2:13" s="26" customFormat="1" ht="16.5" customHeight="1">
      <c r="B13" s="342"/>
      <c r="C13" s="58"/>
      <c r="D13" s="76"/>
      <c r="E13" s="76"/>
      <c r="F13" s="76"/>
      <c r="G13" s="76"/>
      <c r="H13" s="76"/>
      <c r="I13" s="76"/>
      <c r="J13" s="323" t="s">
        <v>135</v>
      </c>
      <c r="K13" s="324"/>
      <c r="L13" s="58"/>
      <c r="M13" s="89"/>
    </row>
    <row r="14" spans="2:13" s="26" customFormat="1" ht="16.5" customHeight="1">
      <c r="B14" s="320"/>
      <c r="C14" s="77"/>
      <c r="D14" s="208"/>
      <c r="E14" s="208"/>
      <c r="F14" s="208"/>
      <c r="G14" s="208"/>
      <c r="H14" s="208"/>
      <c r="I14" s="208"/>
      <c r="J14" s="344" t="s">
        <v>136</v>
      </c>
      <c r="K14" s="333"/>
      <c r="L14" s="105"/>
      <c r="M14" s="100"/>
    </row>
    <row r="15" spans="2:13" s="26" customFormat="1" ht="15" customHeight="1">
      <c r="B15" s="349" t="s">
        <v>214</v>
      </c>
      <c r="C15" s="67"/>
      <c r="D15" s="414" t="s">
        <v>218</v>
      </c>
      <c r="E15" s="373" t="s">
        <v>230</v>
      </c>
      <c r="F15" s="72"/>
      <c r="G15" s="78"/>
      <c r="H15" s="78"/>
      <c r="I15" s="73"/>
      <c r="J15" s="357" t="s">
        <v>166</v>
      </c>
      <c r="K15" s="331"/>
      <c r="L15" s="357" t="s">
        <v>231</v>
      </c>
      <c r="M15" s="358"/>
    </row>
    <row r="16" spans="2:13" ht="15" customHeight="1">
      <c r="B16" s="350"/>
      <c r="C16" s="62" t="s">
        <v>217</v>
      </c>
      <c r="D16" s="415"/>
      <c r="E16" s="374"/>
      <c r="F16" s="74"/>
      <c r="G16" s="27"/>
      <c r="H16" s="27"/>
      <c r="I16" s="75"/>
      <c r="J16" s="352"/>
      <c r="K16" s="332"/>
      <c r="L16" s="352" t="s">
        <v>50</v>
      </c>
      <c r="M16" s="343"/>
    </row>
    <row r="17" spans="2:13" ht="15" customHeight="1">
      <c r="B17" s="350"/>
      <c r="C17" s="56"/>
      <c r="D17" s="61" t="s">
        <v>128</v>
      </c>
      <c r="E17" s="61" t="s">
        <v>137</v>
      </c>
      <c r="F17" s="79"/>
      <c r="G17" s="80"/>
      <c r="H17" s="80"/>
      <c r="I17" s="81"/>
      <c r="J17" s="344"/>
      <c r="K17" s="333"/>
      <c r="L17" s="344" t="s">
        <v>51</v>
      </c>
      <c r="M17" s="345"/>
    </row>
    <row r="18" spans="2:13" ht="24.75" customHeight="1">
      <c r="B18" s="350"/>
      <c r="C18" s="70" t="s">
        <v>227</v>
      </c>
      <c r="D18" s="214">
        <f>'給水量'!F46</f>
        <v>0</v>
      </c>
      <c r="E18" s="71">
        <v>1</v>
      </c>
      <c r="F18" s="71"/>
      <c r="G18" s="71"/>
      <c r="H18" s="71"/>
      <c r="I18" s="71"/>
      <c r="J18" s="357" t="s">
        <v>138</v>
      </c>
      <c r="K18" s="331"/>
      <c r="L18" s="397">
        <f>ROUND(D18*E18/60,0)</f>
        <v>0</v>
      </c>
      <c r="M18" s="398"/>
    </row>
    <row r="19" spans="2:13" ht="24.75" customHeight="1">
      <c r="B19" s="351"/>
      <c r="C19" s="77"/>
      <c r="D19" s="208"/>
      <c r="E19" s="208"/>
      <c r="F19" s="208"/>
      <c r="G19" s="208"/>
      <c r="H19" s="208"/>
      <c r="I19" s="208"/>
      <c r="J19" s="344"/>
      <c r="K19" s="333"/>
      <c r="L19" s="354"/>
      <c r="M19" s="355"/>
    </row>
    <row r="20" spans="2:13" ht="15" customHeight="1">
      <c r="B20" s="349" t="s">
        <v>215</v>
      </c>
      <c r="C20" s="357" t="s">
        <v>232</v>
      </c>
      <c r="D20" s="331"/>
      <c r="E20" s="82" t="s">
        <v>233</v>
      </c>
      <c r="F20" s="152" t="s">
        <v>269</v>
      </c>
      <c r="G20" s="57" t="s">
        <v>234</v>
      </c>
      <c r="H20" s="57" t="s">
        <v>235</v>
      </c>
      <c r="I20" s="352" t="s">
        <v>236</v>
      </c>
      <c r="J20" s="332"/>
      <c r="K20" s="62" t="s">
        <v>237</v>
      </c>
      <c r="L20" s="357" t="s">
        <v>238</v>
      </c>
      <c r="M20" s="358"/>
    </row>
    <row r="21" spans="2:13" ht="15" customHeight="1">
      <c r="B21" s="350"/>
      <c r="C21" s="352"/>
      <c r="D21" s="332"/>
      <c r="E21" s="82"/>
      <c r="F21" s="82" t="s">
        <v>239</v>
      </c>
      <c r="G21" s="57"/>
      <c r="H21" s="57" t="s">
        <v>240</v>
      </c>
      <c r="I21" s="352"/>
      <c r="J21" s="332"/>
      <c r="K21" s="62"/>
      <c r="L21" s="352"/>
      <c r="M21" s="343"/>
    </row>
    <row r="22" spans="2:13" ht="15" customHeight="1">
      <c r="B22" s="350"/>
      <c r="C22" s="352"/>
      <c r="D22" s="332"/>
      <c r="E22" s="82"/>
      <c r="F22" s="55"/>
      <c r="G22" s="57" t="s">
        <v>241</v>
      </c>
      <c r="H22" s="57" t="s">
        <v>242</v>
      </c>
      <c r="I22" s="352" t="s">
        <v>260</v>
      </c>
      <c r="J22" s="332"/>
      <c r="K22" s="62" t="s">
        <v>261</v>
      </c>
      <c r="L22" s="352" t="s">
        <v>243</v>
      </c>
      <c r="M22" s="343"/>
    </row>
    <row r="23" spans="2:13" ht="15" customHeight="1">
      <c r="B23" s="350"/>
      <c r="C23" s="344"/>
      <c r="D23" s="333"/>
      <c r="E23" s="18" t="s">
        <v>244</v>
      </c>
      <c r="F23" s="61" t="s">
        <v>262</v>
      </c>
      <c r="G23" s="61" t="s">
        <v>245</v>
      </c>
      <c r="H23" s="61" t="s">
        <v>262</v>
      </c>
      <c r="I23" s="344" t="s">
        <v>262</v>
      </c>
      <c r="J23" s="333"/>
      <c r="K23" s="56"/>
      <c r="L23" s="344" t="s">
        <v>263</v>
      </c>
      <c r="M23" s="345"/>
    </row>
    <row r="24" spans="2:15" ht="16.5" customHeight="1">
      <c r="B24" s="350"/>
      <c r="C24" s="400" t="s">
        <v>264</v>
      </c>
      <c r="D24" s="401"/>
      <c r="E24" s="71"/>
      <c r="F24" s="71"/>
      <c r="G24" s="71"/>
      <c r="H24" s="71"/>
      <c r="I24" s="70" t="s">
        <v>53</v>
      </c>
      <c r="J24" s="83"/>
      <c r="K24" s="155"/>
      <c r="L24" s="155"/>
      <c r="M24" s="217"/>
      <c r="O24" s="19"/>
    </row>
    <row r="25" spans="2:15" ht="16.5" customHeight="1">
      <c r="B25" s="350"/>
      <c r="C25" s="84"/>
      <c r="D25" s="85"/>
      <c r="E25" s="215"/>
      <c r="F25" s="215"/>
      <c r="G25" s="215"/>
      <c r="H25" s="215"/>
      <c r="I25" s="84"/>
      <c r="J25" s="86"/>
      <c r="K25" s="218"/>
      <c r="L25" s="218"/>
      <c r="M25" s="219"/>
      <c r="O25" s="19"/>
    </row>
    <row r="26" spans="2:15" ht="16.5" customHeight="1">
      <c r="B26" s="350"/>
      <c r="C26" s="87" t="s">
        <v>246</v>
      </c>
      <c r="D26" s="88">
        <f>[1]!SGP_VA呼び径(L18,F26)</f>
        <v>0</v>
      </c>
      <c r="E26" s="76">
        <f>ROUND([1]!SGP_VA推奨流速(L18),2)</f>
        <v>0</v>
      </c>
      <c r="F26" s="76">
        <f>ROUND([1]!SGP_VA推奨摩擦抵抗(L18),2)</f>
        <v>0</v>
      </c>
      <c r="G26" s="216"/>
      <c r="H26" s="76">
        <f>ROUND([1]!SGP_VA摩擦抵抗(L18,D26),0)</f>
        <v>0</v>
      </c>
      <c r="I26" s="87" t="s">
        <v>139</v>
      </c>
      <c r="J26" s="59">
        <f>ROUND(G26*H26/1000,2)</f>
        <v>0</v>
      </c>
      <c r="K26" s="92"/>
      <c r="L26" s="92"/>
      <c r="M26" s="207"/>
      <c r="O26" s="19"/>
    </row>
    <row r="27" spans="2:19" ht="16.5" customHeight="1">
      <c r="B27" s="350"/>
      <c r="C27" s="90"/>
      <c r="D27" s="91"/>
      <c r="E27" s="76"/>
      <c r="F27" s="76"/>
      <c r="G27" s="76"/>
      <c r="H27" s="76"/>
      <c r="I27" s="58"/>
      <c r="J27" s="59"/>
      <c r="K27" s="92"/>
      <c r="L27" s="92"/>
      <c r="M27" s="207"/>
      <c r="O27" s="19"/>
      <c r="P27" s="20"/>
      <c r="Q27" s="20"/>
      <c r="R27" s="20"/>
      <c r="S27" s="20"/>
    </row>
    <row r="28" spans="2:13" ht="16.5" customHeight="1">
      <c r="B28" s="350"/>
      <c r="C28" s="92"/>
      <c r="D28" s="93"/>
      <c r="E28" s="76"/>
      <c r="F28" s="76"/>
      <c r="G28" s="76"/>
      <c r="H28" s="76"/>
      <c r="I28" s="58"/>
      <c r="J28" s="59"/>
      <c r="K28" s="92"/>
      <c r="L28" s="92"/>
      <c r="M28" s="207"/>
    </row>
    <row r="29" spans="2:13" ht="16.5" customHeight="1">
      <c r="B29" s="350"/>
      <c r="C29" s="319" t="s">
        <v>265</v>
      </c>
      <c r="D29" s="391"/>
      <c r="E29" s="76"/>
      <c r="F29" s="76"/>
      <c r="G29" s="76"/>
      <c r="H29" s="76"/>
      <c r="I29" s="319" t="s">
        <v>266</v>
      </c>
      <c r="J29" s="391"/>
      <c r="K29" s="92"/>
      <c r="L29" s="92"/>
      <c r="M29" s="207"/>
    </row>
    <row r="30" spans="2:13" ht="16.5" customHeight="1">
      <c r="B30" s="350"/>
      <c r="C30" s="87"/>
      <c r="D30" s="94"/>
      <c r="E30" s="76"/>
      <c r="F30" s="76"/>
      <c r="G30" s="76"/>
      <c r="H30" s="76"/>
      <c r="I30" s="58"/>
      <c r="J30" s="59"/>
      <c r="K30" s="92"/>
      <c r="L30" s="92"/>
      <c r="M30" s="207"/>
    </row>
    <row r="31" spans="2:13" ht="16.5" customHeight="1">
      <c r="B31" s="350"/>
      <c r="C31" s="58"/>
      <c r="D31" s="59"/>
      <c r="E31" s="76"/>
      <c r="F31" s="76"/>
      <c r="G31" s="76"/>
      <c r="H31" s="76"/>
      <c r="I31" s="87" t="s">
        <v>140</v>
      </c>
      <c r="J31" s="59">
        <f>J26</f>
        <v>0</v>
      </c>
      <c r="K31" s="92"/>
      <c r="L31" s="92"/>
      <c r="M31" s="207"/>
    </row>
    <row r="32" spans="2:13" ht="16.5" customHeight="1">
      <c r="B32" s="350"/>
      <c r="C32" s="58"/>
      <c r="D32" s="59"/>
      <c r="E32" s="76"/>
      <c r="F32" s="76"/>
      <c r="G32" s="76"/>
      <c r="H32" s="76"/>
      <c r="I32" s="58"/>
      <c r="J32" s="59"/>
      <c r="K32" s="92"/>
      <c r="L32" s="92"/>
      <c r="M32" s="207"/>
    </row>
    <row r="33" spans="2:13" ht="16.5" customHeight="1">
      <c r="B33" s="350"/>
      <c r="C33" s="58"/>
      <c r="D33" s="59"/>
      <c r="E33" s="76"/>
      <c r="F33" s="76"/>
      <c r="G33" s="76"/>
      <c r="H33" s="76"/>
      <c r="I33" s="58"/>
      <c r="J33" s="59"/>
      <c r="K33" s="92"/>
      <c r="L33" s="92"/>
      <c r="M33" s="207"/>
    </row>
    <row r="34" spans="2:13" ht="16.5" customHeight="1">
      <c r="B34" s="350"/>
      <c r="C34" s="319" t="s">
        <v>267</v>
      </c>
      <c r="D34" s="391"/>
      <c r="E34" s="76"/>
      <c r="F34" s="76"/>
      <c r="G34" s="76"/>
      <c r="H34" s="76"/>
      <c r="I34" s="58" t="s">
        <v>247</v>
      </c>
      <c r="J34" s="59"/>
      <c r="K34" s="92"/>
      <c r="L34" s="92"/>
      <c r="M34" s="207"/>
    </row>
    <row r="35" spans="2:13" ht="16.5" customHeight="1">
      <c r="B35" s="350"/>
      <c r="C35" s="58"/>
      <c r="D35" s="59"/>
      <c r="E35" s="76"/>
      <c r="F35" s="76"/>
      <c r="G35" s="76"/>
      <c r="H35" s="76"/>
      <c r="I35" s="402" t="s">
        <v>248</v>
      </c>
      <c r="J35" s="403"/>
      <c r="K35" s="92"/>
      <c r="L35" s="92"/>
      <c r="M35" s="207"/>
    </row>
    <row r="36" spans="2:13" ht="16.5" customHeight="1">
      <c r="B36" s="350"/>
      <c r="C36" s="58"/>
      <c r="D36" s="59"/>
      <c r="E36" s="76"/>
      <c r="F36" s="76"/>
      <c r="G36" s="76"/>
      <c r="H36" s="76"/>
      <c r="I36" s="58"/>
      <c r="J36" s="59"/>
      <c r="K36" s="92"/>
      <c r="L36" s="92"/>
      <c r="M36" s="207"/>
    </row>
    <row r="37" spans="2:13" ht="16.5" customHeight="1">
      <c r="B37" s="350"/>
      <c r="C37" s="58"/>
      <c r="D37" s="59"/>
      <c r="E37" s="76"/>
      <c r="F37" s="76"/>
      <c r="G37" s="76"/>
      <c r="H37" s="76"/>
      <c r="I37" s="58"/>
      <c r="J37" s="59"/>
      <c r="K37" s="92"/>
      <c r="L37" s="92"/>
      <c r="M37" s="207"/>
    </row>
    <row r="38" spans="2:13" ht="16.5" customHeight="1">
      <c r="B38" s="350"/>
      <c r="C38" s="319" t="s">
        <v>268</v>
      </c>
      <c r="D38" s="391"/>
      <c r="E38" s="76"/>
      <c r="F38" s="76"/>
      <c r="G38" s="76"/>
      <c r="H38" s="76"/>
      <c r="I38" s="87" t="s">
        <v>141</v>
      </c>
      <c r="J38" s="95"/>
      <c r="K38" s="92"/>
      <c r="L38" s="92"/>
      <c r="M38" s="207"/>
    </row>
    <row r="39" spans="2:13" ht="16.5" customHeight="1">
      <c r="B39" s="350"/>
      <c r="C39" s="58"/>
      <c r="D39" s="59"/>
      <c r="E39" s="76"/>
      <c r="F39" s="76"/>
      <c r="G39" s="76"/>
      <c r="H39" s="76"/>
      <c r="I39" s="58"/>
      <c r="J39" s="59"/>
      <c r="K39" s="92"/>
      <c r="L39" s="92"/>
      <c r="M39" s="207"/>
    </row>
    <row r="40" spans="2:13" ht="16.5" customHeight="1">
      <c r="B40" s="350"/>
      <c r="C40" s="58"/>
      <c r="D40" s="59"/>
      <c r="E40" s="76"/>
      <c r="F40" s="76"/>
      <c r="G40" s="76"/>
      <c r="H40" s="76"/>
      <c r="I40" s="58"/>
      <c r="J40" s="59"/>
      <c r="K40" s="92"/>
      <c r="L40" s="92"/>
      <c r="M40" s="207"/>
    </row>
    <row r="41" spans="2:13" ht="16.5" customHeight="1">
      <c r="B41" s="350"/>
      <c r="C41" s="58"/>
      <c r="D41" s="59"/>
      <c r="E41" s="76"/>
      <c r="F41" s="76"/>
      <c r="G41" s="76"/>
      <c r="H41" s="76"/>
      <c r="I41" s="58"/>
      <c r="J41" s="59"/>
      <c r="K41" s="92"/>
      <c r="L41" s="92"/>
      <c r="M41" s="207"/>
    </row>
    <row r="42" spans="2:13" ht="16.5" customHeight="1">
      <c r="B42" s="351"/>
      <c r="C42" s="77"/>
      <c r="D42" s="96" t="s">
        <v>249</v>
      </c>
      <c r="E42" s="208"/>
      <c r="F42" s="208"/>
      <c r="G42" s="208"/>
      <c r="H42" s="208"/>
      <c r="I42" s="77"/>
      <c r="J42" s="97">
        <f>SUM(J26,J31,J38)</f>
        <v>0</v>
      </c>
      <c r="K42" s="220">
        <v>1.1</v>
      </c>
      <c r="L42" s="408">
        <f>ROUND(J42*K42,0)</f>
        <v>0</v>
      </c>
      <c r="M42" s="409"/>
    </row>
    <row r="43" spans="2:13" ht="12.75" customHeight="1">
      <c r="B43" s="349" t="s">
        <v>216</v>
      </c>
      <c r="C43" s="72"/>
      <c r="D43" s="63" t="s">
        <v>231</v>
      </c>
      <c r="E43" s="63" t="s">
        <v>250</v>
      </c>
      <c r="F43" s="72"/>
      <c r="G43" s="73"/>
      <c r="H43" s="98"/>
      <c r="I43" s="339" t="s">
        <v>251</v>
      </c>
      <c r="J43" s="340"/>
      <c r="K43" s="67" t="s">
        <v>252</v>
      </c>
      <c r="L43" s="357" t="s">
        <v>253</v>
      </c>
      <c r="M43" s="358"/>
    </row>
    <row r="44" spans="2:20" ht="12.75" customHeight="1">
      <c r="B44" s="350"/>
      <c r="C44" s="62" t="s">
        <v>217</v>
      </c>
      <c r="D44" s="60" t="s">
        <v>54</v>
      </c>
      <c r="E44" s="60" t="s">
        <v>52</v>
      </c>
      <c r="F44" s="74" t="s">
        <v>254</v>
      </c>
      <c r="G44" s="75"/>
      <c r="H44" s="60" t="s">
        <v>255</v>
      </c>
      <c r="I44" s="323"/>
      <c r="J44" s="324"/>
      <c r="K44" s="62" t="s">
        <v>256</v>
      </c>
      <c r="L44" s="352"/>
      <c r="M44" s="343"/>
      <c r="S44" s="16" t="s">
        <v>129</v>
      </c>
      <c r="T44" s="16" t="s">
        <v>60</v>
      </c>
    </row>
    <row r="45" spans="2:13" ht="12.75" customHeight="1">
      <c r="B45" s="350"/>
      <c r="C45" s="79"/>
      <c r="D45" s="61" t="s">
        <v>130</v>
      </c>
      <c r="E45" s="61" t="s">
        <v>142</v>
      </c>
      <c r="F45" s="79"/>
      <c r="G45" s="81"/>
      <c r="H45" s="61" t="s">
        <v>131</v>
      </c>
      <c r="I45" s="79" t="s">
        <v>257</v>
      </c>
      <c r="J45" s="81"/>
      <c r="K45" s="56" t="s">
        <v>55</v>
      </c>
      <c r="L45" s="344" t="s">
        <v>258</v>
      </c>
      <c r="M45" s="345"/>
    </row>
    <row r="46" spans="2:19" ht="16.5" customHeight="1">
      <c r="B46" s="350"/>
      <c r="C46" s="70" t="s">
        <v>227</v>
      </c>
      <c r="D46" s="71">
        <f>L18</f>
        <v>0</v>
      </c>
      <c r="E46" s="71">
        <f>L42</f>
        <v>0</v>
      </c>
      <c r="F46" s="410"/>
      <c r="G46" s="411"/>
      <c r="H46" s="166"/>
      <c r="I46" s="404" t="s">
        <v>259</v>
      </c>
      <c r="J46" s="405"/>
      <c r="K46" s="221">
        <f>IF(ISBLANK($F$46),"",VLOOKUP(P48,S52:T63,2))</f>
      </c>
      <c r="L46" s="406"/>
      <c r="M46" s="407"/>
      <c r="O46" s="52" t="s">
        <v>153</v>
      </c>
      <c r="P46" s="52"/>
      <c r="Q46" s="16"/>
      <c r="S46" s="52" t="s">
        <v>156</v>
      </c>
    </row>
    <row r="47" spans="2:19" ht="16.5" customHeight="1">
      <c r="B47" s="350"/>
      <c r="C47" s="58"/>
      <c r="D47" s="76"/>
      <c r="E47" s="76"/>
      <c r="F47" s="417"/>
      <c r="G47" s="418"/>
      <c r="H47" s="76"/>
      <c r="I47" s="392"/>
      <c r="J47" s="413"/>
      <c r="K47" s="222"/>
      <c r="L47" s="392"/>
      <c r="M47" s="393"/>
      <c r="O47" s="52" t="s">
        <v>154</v>
      </c>
      <c r="P47" s="52" t="s">
        <v>155</v>
      </c>
      <c r="S47" s="52" t="s">
        <v>157</v>
      </c>
    </row>
    <row r="48" spans="2:16" ht="16.5" customHeight="1">
      <c r="B48" s="350"/>
      <c r="C48" s="58"/>
      <c r="D48" s="76"/>
      <c r="E48" s="76"/>
      <c r="F48" s="419"/>
      <c r="G48" s="420"/>
      <c r="H48" s="76"/>
      <c r="I48" s="392"/>
      <c r="J48" s="413"/>
      <c r="K48" s="222"/>
      <c r="L48" s="392"/>
      <c r="M48" s="393"/>
      <c r="O48" s="147"/>
      <c r="P48" s="148">
        <f>IF(ISBLANK($F$46),"",ROUNDUP(D46*E46/(6120*O48),2)*1.1)</f>
      </c>
    </row>
    <row r="49" spans="2:13" ht="16.5" customHeight="1" thickBot="1">
      <c r="B49" s="412"/>
      <c r="C49" s="99"/>
      <c r="D49" s="223"/>
      <c r="E49" s="223"/>
      <c r="F49" s="421"/>
      <c r="G49" s="422"/>
      <c r="H49" s="223"/>
      <c r="I49" s="394"/>
      <c r="J49" s="416"/>
      <c r="K49" s="170"/>
      <c r="L49" s="394"/>
      <c r="M49" s="395"/>
    </row>
    <row r="51" spans="10:20" ht="13.5">
      <c r="J51" s="389"/>
      <c r="K51" s="389"/>
      <c r="L51" s="389"/>
      <c r="S51" s="52" t="s">
        <v>158</v>
      </c>
      <c r="T51" s="52" t="s">
        <v>159</v>
      </c>
    </row>
    <row r="52" spans="11:20" ht="13.5">
      <c r="K52" s="30"/>
      <c r="L52" s="26"/>
      <c r="S52" s="52">
        <v>0.001</v>
      </c>
      <c r="T52" s="52">
        <v>0.4</v>
      </c>
    </row>
    <row r="53" spans="19:20" ht="13.5">
      <c r="S53" s="52">
        <v>0.401</v>
      </c>
      <c r="T53" s="52">
        <v>0.75</v>
      </c>
    </row>
    <row r="54" spans="19:20" ht="13.5">
      <c r="S54" s="52">
        <v>0.751</v>
      </c>
      <c r="T54" s="52">
        <v>1.5</v>
      </c>
    </row>
    <row r="55" spans="19:20" ht="13.5">
      <c r="S55" s="52">
        <v>1.501</v>
      </c>
      <c r="T55" s="52">
        <v>2.2</v>
      </c>
    </row>
    <row r="56" spans="19:20" ht="13.5">
      <c r="S56" s="52">
        <v>2.201</v>
      </c>
      <c r="T56" s="52">
        <v>3.7</v>
      </c>
    </row>
    <row r="57" spans="19:20" ht="13.5">
      <c r="S57" s="52">
        <v>3.701</v>
      </c>
      <c r="T57" s="52">
        <v>5.5</v>
      </c>
    </row>
    <row r="58" spans="19:20" ht="13.5">
      <c r="S58" s="52">
        <v>5.501</v>
      </c>
      <c r="T58" s="52">
        <v>7.5</v>
      </c>
    </row>
    <row r="59" spans="19:20" ht="13.5">
      <c r="S59" s="52">
        <v>7.501</v>
      </c>
      <c r="T59" s="52">
        <v>11</v>
      </c>
    </row>
    <row r="60" spans="19:20" ht="13.5">
      <c r="S60" s="52">
        <v>11.001</v>
      </c>
      <c r="T60" s="52">
        <v>15</v>
      </c>
    </row>
    <row r="61" spans="19:20" ht="13.5">
      <c r="S61" s="52">
        <v>15.001</v>
      </c>
      <c r="T61" s="52">
        <v>18.5</v>
      </c>
    </row>
    <row r="62" spans="19:20" ht="13.5">
      <c r="S62" s="52">
        <v>18.501</v>
      </c>
      <c r="T62" s="52">
        <v>22</v>
      </c>
    </row>
    <row r="63" spans="19:20" ht="13.5">
      <c r="S63" s="52">
        <v>22.001</v>
      </c>
      <c r="T63" s="52">
        <v>26</v>
      </c>
    </row>
  </sheetData>
  <sheetProtection password="E916" sheet="1" objects="1" scenarios="1" selectLockedCells="1" selectUnlockedCells="1"/>
  <mergeCells count="65">
    <mergeCell ref="I49:J49"/>
    <mergeCell ref="F47:G47"/>
    <mergeCell ref="F48:G48"/>
    <mergeCell ref="F49:G49"/>
    <mergeCell ref="B15:B19"/>
    <mergeCell ref="F46:G46"/>
    <mergeCell ref="I43:J44"/>
    <mergeCell ref="B43:B49"/>
    <mergeCell ref="B20:B42"/>
    <mergeCell ref="C20:D23"/>
    <mergeCell ref="I47:J47"/>
    <mergeCell ref="C38:D38"/>
    <mergeCell ref="D15:D16"/>
    <mergeCell ref="I48:J48"/>
    <mergeCell ref="L46:M46"/>
    <mergeCell ref="L4:M4"/>
    <mergeCell ref="L5:M5"/>
    <mergeCell ref="L7:M7"/>
    <mergeCell ref="L42:M42"/>
    <mergeCell ref="L20:M20"/>
    <mergeCell ref="L21:M21"/>
    <mergeCell ref="E15:E16"/>
    <mergeCell ref="C34:D34"/>
    <mergeCell ref="C24:D24"/>
    <mergeCell ref="L47:M47"/>
    <mergeCell ref="I35:J35"/>
    <mergeCell ref="L15:M15"/>
    <mergeCell ref="L23:M23"/>
    <mergeCell ref="I23:J23"/>
    <mergeCell ref="I46:J46"/>
    <mergeCell ref="L22:M22"/>
    <mergeCell ref="J13:K13"/>
    <mergeCell ref="J14:K14"/>
    <mergeCell ref="J19:K19"/>
    <mergeCell ref="J15:K17"/>
    <mergeCell ref="B2:M2"/>
    <mergeCell ref="L19:M19"/>
    <mergeCell ref="J18:K18"/>
    <mergeCell ref="L16:M16"/>
    <mergeCell ref="L17:M17"/>
    <mergeCell ref="L18:M18"/>
    <mergeCell ref="H4:H5"/>
    <mergeCell ref="I4:I5"/>
    <mergeCell ref="L6:M6"/>
    <mergeCell ref="G4:G5"/>
    <mergeCell ref="J51:L51"/>
    <mergeCell ref="C29:D29"/>
    <mergeCell ref="I29:J29"/>
    <mergeCell ref="I20:J20"/>
    <mergeCell ref="I21:J21"/>
    <mergeCell ref="I22:J22"/>
    <mergeCell ref="L48:M48"/>
    <mergeCell ref="L49:M49"/>
    <mergeCell ref="L43:M44"/>
    <mergeCell ref="L45:M45"/>
    <mergeCell ref="J4:K7"/>
    <mergeCell ref="J8:K8"/>
    <mergeCell ref="B3:B14"/>
    <mergeCell ref="C3:C7"/>
    <mergeCell ref="D4:D5"/>
    <mergeCell ref="F4:F5"/>
    <mergeCell ref="J9:K9"/>
    <mergeCell ref="J10:K10"/>
    <mergeCell ref="J11:K11"/>
    <mergeCell ref="J12:K12"/>
  </mergeCells>
  <dataValidations count="1">
    <dataValidation type="list" allowBlank="1" showInputMessage="1" showErrorMessage="1" sqref="F46:G46">
      <formula1>$S$46:$S$48</formula1>
    </dataValidation>
  </dataValidations>
  <printOptions/>
  <pageMargins left="0.5905511811023623" right="0.1968503937007874" top="0.984251968503937" bottom="0.1968503937007874" header="0.3937007874015748" footer="0.1968503937007874"/>
  <pageSetup horizontalDpi="600" verticalDpi="600" orientation="portrait" paperSize="9" r:id="rId3"/>
  <headerFooter alignWithMargins="0">
    <oddHeader>&amp;L&amp;"MS UI Gothic,標準"&amp;12&amp;U給 排 水 衛 生 設 備&amp;"ＭＳ Ｐゴシック,標準"&amp;11&amp;U
    &amp;"MS UI Gothic,標準"タンク･揚水ポンプ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Q42"/>
  <sheetViews>
    <sheetView showGridLines="0" showRowColHeaders="0" showZeros="0" workbookViewId="0" topLeftCell="A1">
      <selection activeCell="AI36" sqref="AI36:AK36"/>
    </sheetView>
  </sheetViews>
  <sheetFormatPr defaultColWidth="5.875" defaultRowHeight="15.75" customHeight="1"/>
  <cols>
    <col min="1" max="1" width="1.625" style="106" customWidth="1"/>
    <col min="2" max="38" width="3.00390625" style="106" customWidth="1"/>
    <col min="39" max="39" width="3.00390625" style="109" customWidth="1"/>
    <col min="40" max="40" width="2.625" style="106" customWidth="1"/>
    <col min="41" max="16384" width="4.625" style="106" customWidth="1"/>
  </cols>
  <sheetData>
    <row r="1" spans="2:23" ht="9.75" customHeight="1" thickBot="1">
      <c r="B1" s="107"/>
      <c r="L1" s="108"/>
      <c r="O1" s="108"/>
      <c r="W1" s="108"/>
    </row>
    <row r="2" spans="2:43" ht="24.75" customHeight="1">
      <c r="B2" s="110"/>
      <c r="C2" s="464" t="s">
        <v>270</v>
      </c>
      <c r="D2" s="464"/>
      <c r="E2" s="464"/>
      <c r="F2" s="464"/>
      <c r="G2" s="464"/>
      <c r="H2" s="464"/>
      <c r="I2" s="464"/>
      <c r="J2" s="111"/>
      <c r="K2" s="224" t="s">
        <v>145</v>
      </c>
      <c r="L2" s="225">
        <v>130</v>
      </c>
      <c r="M2" s="226"/>
      <c r="N2" s="224" t="s">
        <v>146</v>
      </c>
      <c r="O2" s="225">
        <f>'ﾀﾝｸ･揚水ﾎﾟﾝﾌﾟ'!H26</f>
        <v>0</v>
      </c>
      <c r="P2" s="462" t="s">
        <v>271</v>
      </c>
      <c r="Q2" s="462"/>
      <c r="R2" s="462"/>
      <c r="S2" s="462" t="s">
        <v>147</v>
      </c>
      <c r="T2" s="462"/>
      <c r="U2" s="462"/>
      <c r="V2" s="462"/>
      <c r="W2" s="225" t="s">
        <v>272</v>
      </c>
      <c r="X2" s="226"/>
      <c r="Y2" s="226"/>
      <c r="Z2" s="463" t="s">
        <v>273</v>
      </c>
      <c r="AA2" s="463"/>
      <c r="AB2" s="463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60"/>
      <c r="AO2" s="15"/>
      <c r="AP2" s="432" t="s">
        <v>31</v>
      </c>
      <c r="AQ2" s="388"/>
    </row>
    <row r="3" spans="2:39" ht="24.75" customHeight="1">
      <c r="B3" s="112"/>
      <c r="C3" s="461" t="s">
        <v>275</v>
      </c>
      <c r="D3" s="461"/>
      <c r="E3" s="461"/>
      <c r="F3" s="461"/>
      <c r="G3" s="113"/>
      <c r="H3" s="113"/>
      <c r="I3" s="113"/>
      <c r="J3" s="113"/>
      <c r="K3" s="227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 t="s">
        <v>274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30"/>
    </row>
    <row r="4" spans="2:39" ht="24.75" customHeight="1">
      <c r="B4" s="114"/>
      <c r="C4" s="115"/>
      <c r="D4" s="116"/>
      <c r="E4" s="116"/>
      <c r="F4" s="116"/>
      <c r="G4" s="116"/>
      <c r="H4" s="116"/>
      <c r="I4" s="116"/>
      <c r="J4" s="116"/>
      <c r="K4" s="115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7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8"/>
    </row>
    <row r="5" spans="2:39" ht="24.75" customHeight="1">
      <c r="B5" s="119"/>
      <c r="C5" s="454" t="s">
        <v>147</v>
      </c>
      <c r="D5" s="455"/>
      <c r="E5" s="455"/>
      <c r="F5" s="455"/>
      <c r="G5" s="143" t="s">
        <v>276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18"/>
    </row>
    <row r="6" spans="2:39" ht="18" customHeight="1" thickBot="1">
      <c r="B6" s="119"/>
      <c r="C6" s="121">
        <v>1</v>
      </c>
      <c r="D6" s="122"/>
      <c r="E6" s="122"/>
      <c r="F6" s="120"/>
      <c r="G6" s="121">
        <f>C6+1</f>
        <v>2</v>
      </c>
      <c r="H6" s="122"/>
      <c r="I6" s="122"/>
      <c r="J6" s="120"/>
      <c r="K6" s="123"/>
      <c r="L6" s="123"/>
      <c r="M6" s="123"/>
      <c r="N6" s="120"/>
      <c r="O6" s="121">
        <f>G6+1</f>
        <v>3</v>
      </c>
      <c r="P6" s="122"/>
      <c r="Q6" s="122"/>
      <c r="R6" s="120"/>
      <c r="S6" s="123"/>
      <c r="T6" s="123"/>
      <c r="U6" s="123"/>
      <c r="V6" s="120"/>
      <c r="W6" s="121">
        <f>O6+1</f>
        <v>4</v>
      </c>
      <c r="X6" s="122"/>
      <c r="Y6" s="122"/>
      <c r="Z6" s="120"/>
      <c r="AA6" s="123"/>
      <c r="AB6" s="123"/>
      <c r="AC6" s="123"/>
      <c r="AD6" s="120"/>
      <c r="AE6" s="121">
        <f>W6+1</f>
        <v>5</v>
      </c>
      <c r="AF6" s="122"/>
      <c r="AG6" s="122"/>
      <c r="AH6" s="120"/>
      <c r="AI6" s="123"/>
      <c r="AJ6" s="123"/>
      <c r="AK6" s="123"/>
      <c r="AL6" s="120"/>
      <c r="AM6" s="118"/>
    </row>
    <row r="7" spans="2:39" s="124" customFormat="1" ht="24.75" customHeight="1" thickTop="1">
      <c r="B7" s="125"/>
      <c r="C7" s="426"/>
      <c r="D7" s="427"/>
      <c r="E7" s="428"/>
      <c r="F7" s="126"/>
      <c r="G7" s="426"/>
      <c r="H7" s="427"/>
      <c r="I7" s="428"/>
      <c r="J7" s="126"/>
      <c r="K7" s="127">
        <f>C8+G8</f>
        <v>0</v>
      </c>
      <c r="L7" s="128" t="s">
        <v>148</v>
      </c>
      <c r="M7" s="129">
        <f>[1]!同時使用流量(K7,IF($G5="有",1,2))</f>
        <v>0</v>
      </c>
      <c r="N7" s="130"/>
      <c r="O7" s="426"/>
      <c r="P7" s="427"/>
      <c r="Q7" s="428"/>
      <c r="R7" s="126"/>
      <c r="S7" s="127">
        <f>K7+P8</f>
        <v>0</v>
      </c>
      <c r="T7" s="128" t="s">
        <v>148</v>
      </c>
      <c r="U7" s="129">
        <f>[1]!同時使用流量(S7,IF($G5="有",1,2))</f>
        <v>0</v>
      </c>
      <c r="V7" s="130"/>
      <c r="W7" s="426"/>
      <c r="X7" s="427"/>
      <c r="Y7" s="428"/>
      <c r="Z7" s="126"/>
      <c r="AA7" s="127">
        <f>S7+X8</f>
        <v>0</v>
      </c>
      <c r="AB7" s="128" t="s">
        <v>148</v>
      </c>
      <c r="AC7" s="129">
        <f>[1]!同時使用流量(AA7,IF($G5="有",1,2))</f>
        <v>0</v>
      </c>
      <c r="AD7" s="130"/>
      <c r="AE7" s="426"/>
      <c r="AF7" s="427"/>
      <c r="AG7" s="428"/>
      <c r="AH7" s="126"/>
      <c r="AI7" s="127">
        <f>AA7+AF8</f>
        <v>0</v>
      </c>
      <c r="AJ7" s="128" t="s">
        <v>148</v>
      </c>
      <c r="AK7" s="129">
        <f>[1]!同時使用流量(AI7,IF($G5="有",1,2))</f>
        <v>0</v>
      </c>
      <c r="AL7" s="130"/>
      <c r="AM7" s="131"/>
    </row>
    <row r="8" spans="2:39" ht="24.75" customHeight="1" thickBot="1">
      <c r="B8" s="119"/>
      <c r="C8" s="429">
        <f>[1]!器具給水負荷単位(C7)</f>
        <v>0</v>
      </c>
      <c r="D8" s="430"/>
      <c r="E8" s="431"/>
      <c r="F8" s="132"/>
      <c r="G8" s="429">
        <f>[1]!器具給水負荷単位(G7)</f>
        <v>0</v>
      </c>
      <c r="H8" s="430"/>
      <c r="I8" s="431"/>
      <c r="J8" s="132"/>
      <c r="K8" s="423">
        <f>[1]!SGP_VA呼び径(M7,$O$2,IF(C3="摩擦抵抗一定",TRUE,FALSE))</f>
        <v>0</v>
      </c>
      <c r="L8" s="424"/>
      <c r="M8" s="425"/>
      <c r="N8" s="133"/>
      <c r="O8" s="429">
        <f>[1]!器具給水負荷単位(O7)</f>
        <v>0</v>
      </c>
      <c r="P8" s="430"/>
      <c r="Q8" s="431"/>
      <c r="R8" s="132"/>
      <c r="S8" s="423">
        <f>[1]!SGP_VA呼び径(U7,$O$2,IF(D3="摩擦抵抗一定",TRUE,FALSE))</f>
        <v>0</v>
      </c>
      <c r="T8" s="424"/>
      <c r="U8" s="425"/>
      <c r="V8" s="133"/>
      <c r="W8" s="429">
        <f>[1]!器具給水負荷単位(W7)</f>
        <v>0</v>
      </c>
      <c r="X8" s="430"/>
      <c r="Y8" s="431"/>
      <c r="Z8" s="132"/>
      <c r="AA8" s="423">
        <f>[1]!SGP_VA呼び径(AC7,$O$2,IF(C3="摩擦抵抗一定",TRUE,FALSE))</f>
        <v>0</v>
      </c>
      <c r="AB8" s="424"/>
      <c r="AC8" s="425"/>
      <c r="AD8" s="133"/>
      <c r="AE8" s="429">
        <f>[1]!器具給水負荷単位(AE7)</f>
        <v>0</v>
      </c>
      <c r="AF8" s="430"/>
      <c r="AG8" s="431"/>
      <c r="AH8" s="132"/>
      <c r="AI8" s="423">
        <f>[1]!SGP_VA呼び径(AK7,$O$2,IF(D3="摩擦抵抗一定",TRUE,FALSE))</f>
        <v>0</v>
      </c>
      <c r="AJ8" s="424"/>
      <c r="AK8" s="425"/>
      <c r="AL8" s="133"/>
      <c r="AM8" s="118"/>
    </row>
    <row r="9" spans="2:39" ht="24.75" customHeight="1" thickTop="1">
      <c r="B9" s="119"/>
      <c r="C9" s="134"/>
      <c r="D9" s="120"/>
      <c r="E9" s="120"/>
      <c r="F9" s="120"/>
      <c r="G9" s="134"/>
      <c r="H9" s="133"/>
      <c r="I9" s="120"/>
      <c r="J9" s="120"/>
      <c r="K9" s="120"/>
      <c r="L9" s="135"/>
      <c r="M9" s="120"/>
      <c r="N9" s="120"/>
      <c r="O9" s="134"/>
      <c r="P9" s="133"/>
      <c r="Q9" s="120"/>
      <c r="R9" s="120"/>
      <c r="S9" s="120"/>
      <c r="T9" s="135"/>
      <c r="U9" s="120"/>
      <c r="V9" s="120"/>
      <c r="W9" s="134"/>
      <c r="X9" s="133"/>
      <c r="Y9" s="120"/>
      <c r="Z9" s="120"/>
      <c r="AA9" s="120"/>
      <c r="AB9" s="135"/>
      <c r="AC9" s="120"/>
      <c r="AD9" s="120"/>
      <c r="AE9" s="134"/>
      <c r="AF9" s="133"/>
      <c r="AG9" s="120"/>
      <c r="AH9" s="120"/>
      <c r="AI9" s="120"/>
      <c r="AJ9" s="135"/>
      <c r="AK9" s="120"/>
      <c r="AL9" s="120"/>
      <c r="AM9" s="118"/>
    </row>
    <row r="10" spans="2:39" ht="24.75" customHeight="1" thickBot="1">
      <c r="B10" s="119"/>
      <c r="C10" s="136"/>
      <c r="D10" s="137"/>
      <c r="E10" s="138"/>
      <c r="F10" s="138"/>
      <c r="G10" s="139"/>
      <c r="H10" s="140"/>
      <c r="I10" s="138"/>
      <c r="J10" s="138"/>
      <c r="K10" s="138"/>
      <c r="L10" s="138"/>
      <c r="M10" s="138"/>
      <c r="N10" s="138"/>
      <c r="O10" s="139"/>
      <c r="P10" s="140"/>
      <c r="Q10" s="138"/>
      <c r="R10" s="138"/>
      <c r="S10" s="138"/>
      <c r="T10" s="138"/>
      <c r="U10" s="138"/>
      <c r="V10" s="138"/>
      <c r="W10" s="139"/>
      <c r="X10" s="140"/>
      <c r="Y10" s="138"/>
      <c r="Z10" s="138"/>
      <c r="AA10" s="138"/>
      <c r="AB10" s="138"/>
      <c r="AC10" s="138"/>
      <c r="AD10" s="138"/>
      <c r="AE10" s="139"/>
      <c r="AF10" s="140"/>
      <c r="AG10" s="138"/>
      <c r="AH10" s="138"/>
      <c r="AI10" s="138"/>
      <c r="AJ10" s="138"/>
      <c r="AK10" s="138"/>
      <c r="AL10" s="138" t="s">
        <v>277</v>
      </c>
      <c r="AM10" s="141"/>
    </row>
    <row r="11" spans="2:39" ht="24.75" customHeight="1" thickTop="1"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41"/>
    </row>
    <row r="12" spans="2:39" ht="24.75" customHeight="1">
      <c r="B12" s="119"/>
      <c r="C12" s="454" t="s">
        <v>147</v>
      </c>
      <c r="D12" s="455"/>
      <c r="E12" s="455"/>
      <c r="F12" s="455"/>
      <c r="G12" s="143" t="s">
        <v>276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18"/>
    </row>
    <row r="13" spans="2:39" ht="18" customHeight="1" thickBot="1">
      <c r="B13" s="119"/>
      <c r="C13" s="121">
        <v>1</v>
      </c>
      <c r="D13" s="122"/>
      <c r="E13" s="122"/>
      <c r="F13" s="120"/>
      <c r="G13" s="121">
        <f>C13+1</f>
        <v>2</v>
      </c>
      <c r="H13" s="122"/>
      <c r="I13" s="122"/>
      <c r="J13" s="120"/>
      <c r="K13" s="123"/>
      <c r="L13" s="123"/>
      <c r="M13" s="123"/>
      <c r="N13" s="120"/>
      <c r="O13" s="121">
        <f>G13+1</f>
        <v>3</v>
      </c>
      <c r="P13" s="122"/>
      <c r="Q13" s="122"/>
      <c r="R13" s="120"/>
      <c r="S13" s="123"/>
      <c r="T13" s="123"/>
      <c r="U13" s="123"/>
      <c r="V13" s="120"/>
      <c r="W13" s="121">
        <f>O13+1</f>
        <v>4</v>
      </c>
      <c r="X13" s="122"/>
      <c r="Y13" s="122"/>
      <c r="Z13" s="120"/>
      <c r="AA13" s="123"/>
      <c r="AB13" s="123"/>
      <c r="AC13" s="123"/>
      <c r="AD13" s="120"/>
      <c r="AE13" s="121">
        <f>W13+1</f>
        <v>5</v>
      </c>
      <c r="AF13" s="122"/>
      <c r="AG13" s="122"/>
      <c r="AH13" s="120"/>
      <c r="AI13" s="123"/>
      <c r="AJ13" s="123"/>
      <c r="AK13" s="123"/>
      <c r="AL13" s="120"/>
      <c r="AM13" s="118"/>
    </row>
    <row r="14" spans="2:39" s="124" customFormat="1" ht="24.75" customHeight="1" thickTop="1">
      <c r="B14" s="125"/>
      <c r="C14" s="426"/>
      <c r="D14" s="427"/>
      <c r="E14" s="428"/>
      <c r="F14" s="126"/>
      <c r="G14" s="426"/>
      <c r="H14" s="427"/>
      <c r="I14" s="428"/>
      <c r="J14" s="126"/>
      <c r="K14" s="127">
        <f>C15+G15</f>
        <v>0</v>
      </c>
      <c r="L14" s="128" t="s">
        <v>148</v>
      </c>
      <c r="M14" s="129">
        <f>[1]!同時使用流量(K14,IF($G12="有",1,2))</f>
        <v>0</v>
      </c>
      <c r="N14" s="130"/>
      <c r="O14" s="426"/>
      <c r="P14" s="427"/>
      <c r="Q14" s="428"/>
      <c r="R14" s="126"/>
      <c r="S14" s="127">
        <f>K14+P15</f>
        <v>0</v>
      </c>
      <c r="T14" s="128" t="s">
        <v>148</v>
      </c>
      <c r="U14" s="129">
        <f>[1]!同時使用流量(S14,IF($G12="有",1,2))</f>
        <v>0</v>
      </c>
      <c r="V14" s="130"/>
      <c r="W14" s="426"/>
      <c r="X14" s="427"/>
      <c r="Y14" s="428"/>
      <c r="Z14" s="126"/>
      <c r="AA14" s="127">
        <f>S14+X15</f>
        <v>0</v>
      </c>
      <c r="AB14" s="128" t="s">
        <v>148</v>
      </c>
      <c r="AC14" s="129">
        <f>[1]!同時使用流量(AA14,IF($G12="有",1,2))</f>
        <v>0</v>
      </c>
      <c r="AD14" s="130"/>
      <c r="AE14" s="426"/>
      <c r="AF14" s="427"/>
      <c r="AG14" s="428"/>
      <c r="AH14" s="126"/>
      <c r="AI14" s="127">
        <f>AA14+AF15</f>
        <v>0</v>
      </c>
      <c r="AJ14" s="128" t="s">
        <v>148</v>
      </c>
      <c r="AK14" s="129">
        <f>[1]!同時使用流量(AI14,IF($G12="有",1,2))</f>
        <v>0</v>
      </c>
      <c r="AL14" s="130"/>
      <c r="AM14" s="131"/>
    </row>
    <row r="15" spans="2:39" ht="24.75" customHeight="1" thickBot="1">
      <c r="B15" s="119"/>
      <c r="C15" s="429">
        <f>[1]!器具給水負荷単位(C14)</f>
        <v>0</v>
      </c>
      <c r="D15" s="430"/>
      <c r="E15" s="431"/>
      <c r="F15" s="132"/>
      <c r="G15" s="429">
        <f>[1]!器具給水負荷単位(G14)</f>
        <v>0</v>
      </c>
      <c r="H15" s="430"/>
      <c r="I15" s="431"/>
      <c r="J15" s="132"/>
      <c r="K15" s="423">
        <f>[1]!SGP_VA呼び径(M14,$O$2,IF(C3="摩擦抵抗一定",TRUE,FALSE))</f>
        <v>0</v>
      </c>
      <c r="L15" s="424"/>
      <c r="M15" s="425"/>
      <c r="N15" s="133"/>
      <c r="O15" s="429">
        <f>[1]!器具給水負荷単位(O14)</f>
        <v>0</v>
      </c>
      <c r="P15" s="430"/>
      <c r="Q15" s="431"/>
      <c r="R15" s="132"/>
      <c r="S15" s="423">
        <f>[1]!SGP_VA呼び径(U14,$O$2,IF(K3="摩擦抵抗一定",TRUE,FALSE))</f>
        <v>0</v>
      </c>
      <c r="T15" s="424"/>
      <c r="U15" s="425"/>
      <c r="V15" s="133"/>
      <c r="W15" s="429">
        <f>[1]!器具給水負荷単位(W14)</f>
        <v>0</v>
      </c>
      <c r="X15" s="430"/>
      <c r="Y15" s="431"/>
      <c r="Z15" s="132"/>
      <c r="AA15" s="423">
        <f>[1]!SGP_VA呼び径(AC14,$O$2,IF(S3="摩擦抵抗一定",TRUE,FALSE))</f>
        <v>0</v>
      </c>
      <c r="AB15" s="424"/>
      <c r="AC15" s="425"/>
      <c r="AD15" s="133"/>
      <c r="AE15" s="429">
        <f>[1]!器具給水負荷単位(AE14)</f>
        <v>0</v>
      </c>
      <c r="AF15" s="430"/>
      <c r="AG15" s="431"/>
      <c r="AH15" s="132"/>
      <c r="AI15" s="423">
        <f>[1]!SGP_VA呼び径(AK14,$O$2,IF(AA3="摩擦抵抗一定",TRUE,FALSE))</f>
        <v>0</v>
      </c>
      <c r="AJ15" s="424"/>
      <c r="AK15" s="425"/>
      <c r="AL15" s="133"/>
      <c r="AM15" s="118"/>
    </row>
    <row r="16" spans="2:39" ht="24.75" customHeight="1" thickTop="1">
      <c r="B16" s="119"/>
      <c r="C16" s="134"/>
      <c r="D16" s="120"/>
      <c r="E16" s="120"/>
      <c r="F16" s="120"/>
      <c r="G16" s="134"/>
      <c r="H16" s="133"/>
      <c r="I16" s="120"/>
      <c r="J16" s="120"/>
      <c r="K16" s="120"/>
      <c r="L16" s="135"/>
      <c r="M16" s="120"/>
      <c r="N16" s="120"/>
      <c r="O16" s="134"/>
      <c r="P16" s="133"/>
      <c r="Q16" s="120"/>
      <c r="R16" s="120"/>
      <c r="S16" s="120"/>
      <c r="T16" s="135"/>
      <c r="U16" s="120"/>
      <c r="V16" s="120"/>
      <c r="W16" s="134"/>
      <c r="X16" s="133"/>
      <c r="Y16" s="120"/>
      <c r="Z16" s="120"/>
      <c r="AA16" s="120"/>
      <c r="AB16" s="135"/>
      <c r="AC16" s="120"/>
      <c r="AD16" s="120"/>
      <c r="AE16" s="134"/>
      <c r="AF16" s="133"/>
      <c r="AG16" s="120"/>
      <c r="AH16" s="120"/>
      <c r="AI16" s="120"/>
      <c r="AJ16" s="135"/>
      <c r="AK16" s="120"/>
      <c r="AL16" s="120"/>
      <c r="AM16" s="118"/>
    </row>
    <row r="17" spans="2:39" ht="24.75" customHeight="1" thickBot="1">
      <c r="B17" s="119"/>
      <c r="C17" s="136"/>
      <c r="D17" s="137"/>
      <c r="E17" s="138"/>
      <c r="F17" s="138"/>
      <c r="G17" s="139"/>
      <c r="H17" s="140"/>
      <c r="I17" s="138"/>
      <c r="J17" s="138"/>
      <c r="K17" s="138"/>
      <c r="L17" s="138"/>
      <c r="M17" s="138"/>
      <c r="N17" s="138"/>
      <c r="O17" s="139"/>
      <c r="P17" s="140"/>
      <c r="Q17" s="138"/>
      <c r="R17" s="138"/>
      <c r="S17" s="138"/>
      <c r="T17" s="138"/>
      <c r="U17" s="138"/>
      <c r="V17" s="138"/>
      <c r="W17" s="139"/>
      <c r="X17" s="140"/>
      <c r="Y17" s="138"/>
      <c r="Z17" s="138"/>
      <c r="AA17" s="138"/>
      <c r="AB17" s="138"/>
      <c r="AC17" s="138"/>
      <c r="AD17" s="138"/>
      <c r="AE17" s="139"/>
      <c r="AF17" s="140"/>
      <c r="AG17" s="138"/>
      <c r="AH17" s="138"/>
      <c r="AI17" s="138"/>
      <c r="AJ17" s="138"/>
      <c r="AK17" s="138"/>
      <c r="AL17" s="138" t="s">
        <v>278</v>
      </c>
      <c r="AM17" s="141"/>
    </row>
    <row r="18" spans="2:39" ht="24.75" customHeight="1" thickTop="1"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41"/>
    </row>
    <row r="19" spans="2:39" ht="24.75" customHeight="1">
      <c r="B19" s="119"/>
      <c r="C19" s="454" t="s">
        <v>147</v>
      </c>
      <c r="D19" s="455"/>
      <c r="E19" s="455"/>
      <c r="F19" s="455"/>
      <c r="G19" s="143" t="s">
        <v>274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18"/>
    </row>
    <row r="20" spans="2:39" ht="18" customHeight="1" thickBot="1">
      <c r="B20" s="119"/>
      <c r="C20" s="121">
        <v>1</v>
      </c>
      <c r="D20" s="122"/>
      <c r="E20" s="122"/>
      <c r="F20" s="120"/>
      <c r="G20" s="121">
        <f>C20+1</f>
        <v>2</v>
      </c>
      <c r="H20" s="122"/>
      <c r="I20" s="122"/>
      <c r="J20" s="120"/>
      <c r="K20" s="123"/>
      <c r="L20" s="123"/>
      <c r="M20" s="123"/>
      <c r="N20" s="120"/>
      <c r="O20" s="121">
        <f>G20+1</f>
        <v>3</v>
      </c>
      <c r="P20" s="122"/>
      <c r="Q20" s="122"/>
      <c r="R20" s="120"/>
      <c r="S20" s="123"/>
      <c r="T20" s="123"/>
      <c r="U20" s="123"/>
      <c r="V20" s="120"/>
      <c r="W20" s="121">
        <f>O20+1</f>
        <v>4</v>
      </c>
      <c r="X20" s="122"/>
      <c r="Y20" s="122"/>
      <c r="Z20" s="120"/>
      <c r="AA20" s="123"/>
      <c r="AB20" s="123"/>
      <c r="AC20" s="123"/>
      <c r="AD20" s="120"/>
      <c r="AE20" s="121">
        <f>W20+1</f>
        <v>5</v>
      </c>
      <c r="AF20" s="122"/>
      <c r="AG20" s="122"/>
      <c r="AH20" s="120"/>
      <c r="AI20" s="123"/>
      <c r="AJ20" s="123"/>
      <c r="AK20" s="123"/>
      <c r="AL20" s="120"/>
      <c r="AM20" s="118"/>
    </row>
    <row r="21" spans="2:39" s="124" customFormat="1" ht="24.75" customHeight="1" thickTop="1">
      <c r="B21" s="125"/>
      <c r="C21" s="426"/>
      <c r="D21" s="427"/>
      <c r="E21" s="428"/>
      <c r="F21" s="126"/>
      <c r="G21" s="426"/>
      <c r="H21" s="427"/>
      <c r="I21" s="428"/>
      <c r="J21" s="126"/>
      <c r="K21" s="127">
        <f>C22+G22</f>
        <v>0</v>
      </c>
      <c r="L21" s="128" t="s">
        <v>148</v>
      </c>
      <c r="M21" s="129">
        <f>[1]!同時使用流量(K21,IF($G19="有",1,2))</f>
        <v>0</v>
      </c>
      <c r="N21" s="130"/>
      <c r="O21" s="426"/>
      <c r="P21" s="427"/>
      <c r="Q21" s="428"/>
      <c r="R21" s="126"/>
      <c r="S21" s="127">
        <f>K21+O22</f>
        <v>0</v>
      </c>
      <c r="T21" s="128" t="s">
        <v>148</v>
      </c>
      <c r="U21" s="129">
        <f>[1]!同時使用流量(S21,IF($G19="有",1,2))</f>
        <v>0</v>
      </c>
      <c r="V21" s="130"/>
      <c r="W21" s="426"/>
      <c r="X21" s="427"/>
      <c r="Y21" s="428"/>
      <c r="Z21" s="126"/>
      <c r="AA21" s="127">
        <f>S21+X22</f>
        <v>0</v>
      </c>
      <c r="AB21" s="128" t="s">
        <v>148</v>
      </c>
      <c r="AC21" s="129">
        <f>[1]!同時使用流量(AA21,IF($G19="有",1,2))</f>
        <v>0</v>
      </c>
      <c r="AD21" s="130"/>
      <c r="AE21" s="426"/>
      <c r="AF21" s="427"/>
      <c r="AG21" s="428"/>
      <c r="AH21" s="126"/>
      <c r="AI21" s="127">
        <f>AA21+AF22</f>
        <v>0</v>
      </c>
      <c r="AJ21" s="128" t="s">
        <v>148</v>
      </c>
      <c r="AK21" s="129">
        <f>[1]!同時使用流量(AI21,IF($G19="有",1,2))</f>
        <v>0</v>
      </c>
      <c r="AL21" s="130"/>
      <c r="AM21" s="131"/>
    </row>
    <row r="22" spans="2:39" ht="24.75" customHeight="1" thickBot="1">
      <c r="B22" s="119"/>
      <c r="C22" s="429">
        <f>[1]!器具給水負荷単位(C21)</f>
        <v>0</v>
      </c>
      <c r="D22" s="430"/>
      <c r="E22" s="431"/>
      <c r="F22" s="132"/>
      <c r="G22" s="429">
        <f>[1]!器具給水負荷単位(G21)</f>
        <v>0</v>
      </c>
      <c r="H22" s="430"/>
      <c r="I22" s="431"/>
      <c r="J22" s="132"/>
      <c r="K22" s="423">
        <f>[1]!SGP_VA呼び径(M21,$O$2,IF(C16="摩擦抵抗一定",TRUE,FALSE))</f>
        <v>0</v>
      </c>
      <c r="L22" s="424"/>
      <c r="M22" s="425"/>
      <c r="N22" s="133"/>
      <c r="O22" s="429">
        <f>[1]!器具給水負荷単位(O21)</f>
        <v>0</v>
      </c>
      <c r="P22" s="430"/>
      <c r="Q22" s="431"/>
      <c r="R22" s="132"/>
      <c r="S22" s="423">
        <f>[1]!SGP_VA呼び径(U21,$O$2,IF(K16="摩擦抵抗一定",TRUE,FALSE))</f>
        <v>0</v>
      </c>
      <c r="T22" s="424"/>
      <c r="U22" s="425"/>
      <c r="V22" s="133"/>
      <c r="W22" s="429">
        <f>[1]!器具給水負荷単位(W21)</f>
        <v>0</v>
      </c>
      <c r="X22" s="430"/>
      <c r="Y22" s="431"/>
      <c r="Z22" s="132"/>
      <c r="AA22" s="423">
        <f>[1]!SGP_VA呼び径(AC21,$O$2,IF(S16="摩擦抵抗一定",TRUE,FALSE))</f>
        <v>0</v>
      </c>
      <c r="AB22" s="424"/>
      <c r="AC22" s="425"/>
      <c r="AD22" s="133"/>
      <c r="AE22" s="429">
        <f>[1]!器具給水負荷単位(AE21)</f>
        <v>0</v>
      </c>
      <c r="AF22" s="430"/>
      <c r="AG22" s="431"/>
      <c r="AH22" s="132"/>
      <c r="AI22" s="423">
        <f>[1]!SGP_VA呼び径(AK21,$O$2,IF(AA16="摩擦抵抗一定",TRUE,FALSE))</f>
        <v>0</v>
      </c>
      <c r="AJ22" s="424"/>
      <c r="AK22" s="425"/>
      <c r="AL22" s="133"/>
      <c r="AM22" s="118"/>
    </row>
    <row r="23" spans="2:39" ht="24.75" customHeight="1" thickTop="1">
      <c r="B23" s="119"/>
      <c r="C23" s="134"/>
      <c r="D23" s="120"/>
      <c r="E23" s="120"/>
      <c r="F23" s="120"/>
      <c r="G23" s="134"/>
      <c r="H23" s="133"/>
      <c r="I23" s="120"/>
      <c r="J23" s="120"/>
      <c r="K23" s="120"/>
      <c r="L23" s="135"/>
      <c r="M23" s="120"/>
      <c r="N23" s="120"/>
      <c r="O23" s="134"/>
      <c r="P23" s="133"/>
      <c r="Q23" s="120"/>
      <c r="R23" s="120"/>
      <c r="S23" s="120"/>
      <c r="T23" s="135"/>
      <c r="U23" s="120"/>
      <c r="V23" s="120"/>
      <c r="W23" s="134"/>
      <c r="X23" s="133"/>
      <c r="Y23" s="120"/>
      <c r="Z23" s="120"/>
      <c r="AA23" s="120"/>
      <c r="AB23" s="135"/>
      <c r="AC23" s="120"/>
      <c r="AD23" s="120"/>
      <c r="AE23" s="134"/>
      <c r="AF23" s="133"/>
      <c r="AG23" s="120"/>
      <c r="AH23" s="120"/>
      <c r="AI23" s="120"/>
      <c r="AJ23" s="135"/>
      <c r="AK23" s="120"/>
      <c r="AL23" s="120"/>
      <c r="AM23" s="118"/>
    </row>
    <row r="24" spans="2:39" ht="24.75" customHeight="1" thickBot="1">
      <c r="B24" s="119"/>
      <c r="C24" s="136"/>
      <c r="D24" s="137"/>
      <c r="E24" s="138"/>
      <c r="F24" s="138"/>
      <c r="G24" s="139"/>
      <c r="H24" s="140"/>
      <c r="I24" s="138"/>
      <c r="J24" s="138"/>
      <c r="K24" s="138"/>
      <c r="L24" s="138"/>
      <c r="M24" s="138"/>
      <c r="N24" s="138"/>
      <c r="O24" s="139"/>
      <c r="P24" s="140"/>
      <c r="Q24" s="138"/>
      <c r="R24" s="138"/>
      <c r="S24" s="138"/>
      <c r="T24" s="138"/>
      <c r="U24" s="138"/>
      <c r="V24" s="138"/>
      <c r="W24" s="139"/>
      <c r="X24" s="140"/>
      <c r="Y24" s="138"/>
      <c r="Z24" s="138"/>
      <c r="AA24" s="138"/>
      <c r="AB24" s="138"/>
      <c r="AC24" s="138"/>
      <c r="AD24" s="138"/>
      <c r="AE24" s="139"/>
      <c r="AF24" s="140"/>
      <c r="AG24" s="138"/>
      <c r="AH24" s="138"/>
      <c r="AI24" s="138"/>
      <c r="AJ24" s="138"/>
      <c r="AK24" s="138"/>
      <c r="AL24" s="138" t="s">
        <v>279</v>
      </c>
      <c r="AM24" s="141"/>
    </row>
    <row r="25" spans="2:39" ht="24.75" customHeight="1" thickTop="1"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18"/>
    </row>
    <row r="26" spans="2:39" ht="24.75" customHeight="1">
      <c r="B26" s="119"/>
      <c r="C26" s="454" t="s">
        <v>147</v>
      </c>
      <c r="D26" s="455"/>
      <c r="E26" s="455"/>
      <c r="F26" s="455"/>
      <c r="G26" s="143" t="s">
        <v>274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18"/>
    </row>
    <row r="27" spans="2:39" ht="18" customHeight="1" thickBot="1">
      <c r="B27" s="119"/>
      <c r="C27" s="121">
        <v>1</v>
      </c>
      <c r="D27" s="122"/>
      <c r="E27" s="122"/>
      <c r="F27" s="120"/>
      <c r="G27" s="121">
        <f>C27+1</f>
        <v>2</v>
      </c>
      <c r="H27" s="122"/>
      <c r="I27" s="122"/>
      <c r="J27" s="120"/>
      <c r="K27" s="123"/>
      <c r="L27" s="123"/>
      <c r="M27" s="123"/>
      <c r="N27" s="120"/>
      <c r="O27" s="121">
        <f>G27+1</f>
        <v>3</v>
      </c>
      <c r="P27" s="122"/>
      <c r="Q27" s="122"/>
      <c r="R27" s="120"/>
      <c r="S27" s="123"/>
      <c r="T27" s="123"/>
      <c r="U27" s="123"/>
      <c r="V27" s="120"/>
      <c r="W27" s="121">
        <f>O27+1</f>
        <v>4</v>
      </c>
      <c r="X27" s="122"/>
      <c r="Y27" s="122"/>
      <c r="Z27" s="120"/>
      <c r="AA27" s="123"/>
      <c r="AB27" s="123"/>
      <c r="AC27" s="123"/>
      <c r="AD27" s="120"/>
      <c r="AE27" s="121">
        <f>W27+1</f>
        <v>5</v>
      </c>
      <c r="AF27" s="122"/>
      <c r="AG27" s="122"/>
      <c r="AH27" s="120"/>
      <c r="AI27" s="123"/>
      <c r="AJ27" s="123"/>
      <c r="AK27" s="123"/>
      <c r="AL27" s="120"/>
      <c r="AM27" s="118"/>
    </row>
    <row r="28" spans="2:39" s="124" customFormat="1" ht="24.75" customHeight="1" thickTop="1">
      <c r="B28" s="125"/>
      <c r="C28" s="426"/>
      <c r="D28" s="427"/>
      <c r="E28" s="428"/>
      <c r="F28" s="126"/>
      <c r="G28" s="426"/>
      <c r="H28" s="427"/>
      <c r="I28" s="428"/>
      <c r="J28" s="126"/>
      <c r="K28" s="127">
        <f>C29+G29</f>
        <v>0</v>
      </c>
      <c r="L28" s="128" t="s">
        <v>148</v>
      </c>
      <c r="M28" s="128">
        <f>[1]!同時使用流量(K28,IF($G26="有",1,2))</f>
        <v>0</v>
      </c>
      <c r="N28" s="130"/>
      <c r="O28" s="426"/>
      <c r="P28" s="427"/>
      <c r="Q28" s="428"/>
      <c r="R28" s="126"/>
      <c r="S28" s="127">
        <f>K28+O29</f>
        <v>0</v>
      </c>
      <c r="T28" s="128" t="s">
        <v>148</v>
      </c>
      <c r="U28" s="128">
        <f>[1]!同時使用流量(S28,IF($G26="有",1,2))</f>
        <v>0</v>
      </c>
      <c r="V28" s="130"/>
      <c r="W28" s="426"/>
      <c r="X28" s="427"/>
      <c r="Y28" s="428"/>
      <c r="Z28" s="126"/>
      <c r="AA28" s="127">
        <f>IF(W29=0,0,S29+W29)</f>
        <v>0</v>
      </c>
      <c r="AB28" s="128" t="s">
        <v>148</v>
      </c>
      <c r="AC28" s="128">
        <f>[1]!同時使用流量(AA28,IF($G26="有",1,2))</f>
        <v>0</v>
      </c>
      <c r="AD28" s="130"/>
      <c r="AE28" s="426"/>
      <c r="AF28" s="427"/>
      <c r="AG28" s="428"/>
      <c r="AH28" s="126"/>
      <c r="AI28" s="127">
        <f>AA28+AF29</f>
        <v>0</v>
      </c>
      <c r="AJ28" s="128" t="s">
        <v>148</v>
      </c>
      <c r="AK28" s="128">
        <f>[1]!同時使用流量(AI28,IF($G26="有",1,2))</f>
        <v>0</v>
      </c>
      <c r="AL28" s="130"/>
      <c r="AM28" s="131"/>
    </row>
    <row r="29" spans="2:39" ht="24.75" customHeight="1" thickBot="1">
      <c r="B29" s="119"/>
      <c r="C29" s="429">
        <f>[1]!器具給水負荷単位(C28)</f>
        <v>0</v>
      </c>
      <c r="D29" s="430"/>
      <c r="E29" s="431"/>
      <c r="F29" s="132"/>
      <c r="G29" s="429">
        <f>[1]!器具給水負荷単位(G28)</f>
        <v>0</v>
      </c>
      <c r="H29" s="430"/>
      <c r="I29" s="431"/>
      <c r="J29" s="132"/>
      <c r="K29" s="423">
        <f>[1]!SGP_VA呼び径(M28,$O$2,IF(C23="摩擦抵抗一定",TRUE,FALSE))</f>
        <v>0</v>
      </c>
      <c r="L29" s="424"/>
      <c r="M29" s="425"/>
      <c r="N29" s="133"/>
      <c r="O29" s="429">
        <f>[1]!器具給水負荷単位(O28)</f>
        <v>0</v>
      </c>
      <c r="P29" s="430"/>
      <c r="Q29" s="431"/>
      <c r="R29" s="132"/>
      <c r="S29" s="423">
        <f>[1]!SGP_VA呼び径(U28,$O$2,IF(K23="摩擦抵抗一定",TRUE,FALSE))</f>
        <v>0</v>
      </c>
      <c r="T29" s="424"/>
      <c r="U29" s="425"/>
      <c r="V29" s="133"/>
      <c r="W29" s="429">
        <f>[1]!器具給水負荷単位(W28)</f>
        <v>0</v>
      </c>
      <c r="X29" s="430"/>
      <c r="Y29" s="431"/>
      <c r="Z29" s="132"/>
      <c r="AA29" s="423">
        <f>[1]!SGP_VA呼び径(AC28,$O$2,IF(S23="摩擦抵抗一定",TRUE,FALSE))</f>
        <v>0</v>
      </c>
      <c r="AB29" s="424"/>
      <c r="AC29" s="425"/>
      <c r="AD29" s="133"/>
      <c r="AE29" s="429">
        <f>[1]!器具給水負荷単位(AE28)</f>
        <v>0</v>
      </c>
      <c r="AF29" s="430"/>
      <c r="AG29" s="431"/>
      <c r="AH29" s="132"/>
      <c r="AI29" s="423">
        <f>[1]!SGP_VA呼び径(AK28,$O$2,IF(AA23="摩擦抵抗一定",TRUE,FALSE))</f>
        <v>0</v>
      </c>
      <c r="AJ29" s="424"/>
      <c r="AK29" s="425"/>
      <c r="AL29" s="133"/>
      <c r="AM29" s="118"/>
    </row>
    <row r="30" spans="2:39" ht="24.75" customHeight="1" thickTop="1">
      <c r="B30" s="119"/>
      <c r="C30" s="134"/>
      <c r="D30" s="120"/>
      <c r="E30" s="120"/>
      <c r="F30" s="120"/>
      <c r="G30" s="134"/>
      <c r="H30" s="133"/>
      <c r="I30" s="120"/>
      <c r="J30" s="120"/>
      <c r="K30" s="120"/>
      <c r="L30" s="135"/>
      <c r="M30" s="120"/>
      <c r="N30" s="120"/>
      <c r="O30" s="134"/>
      <c r="P30" s="133"/>
      <c r="Q30" s="120"/>
      <c r="R30" s="120"/>
      <c r="S30" s="120"/>
      <c r="T30" s="135"/>
      <c r="U30" s="120"/>
      <c r="V30" s="120"/>
      <c r="W30" s="134"/>
      <c r="X30" s="133"/>
      <c r="Y30" s="120"/>
      <c r="Z30" s="120"/>
      <c r="AA30" s="120"/>
      <c r="AB30" s="135"/>
      <c r="AC30" s="120"/>
      <c r="AD30" s="120"/>
      <c r="AE30" s="134"/>
      <c r="AF30" s="133"/>
      <c r="AG30" s="120"/>
      <c r="AH30" s="120"/>
      <c r="AI30" s="120"/>
      <c r="AJ30" s="135"/>
      <c r="AK30" s="120"/>
      <c r="AL30" s="120"/>
      <c r="AM30" s="118"/>
    </row>
    <row r="31" spans="2:39" ht="24.75" customHeight="1" thickBot="1">
      <c r="B31" s="119"/>
      <c r="C31" s="136"/>
      <c r="D31" s="137"/>
      <c r="E31" s="138"/>
      <c r="F31" s="138"/>
      <c r="G31" s="139"/>
      <c r="H31" s="140"/>
      <c r="I31" s="138"/>
      <c r="J31" s="138"/>
      <c r="K31" s="138"/>
      <c r="L31" s="138"/>
      <c r="M31" s="138"/>
      <c r="N31" s="138"/>
      <c r="O31" s="139"/>
      <c r="P31" s="140"/>
      <c r="Q31" s="138"/>
      <c r="R31" s="138"/>
      <c r="S31" s="138"/>
      <c r="T31" s="138"/>
      <c r="U31" s="138"/>
      <c r="V31" s="138"/>
      <c r="W31" s="139"/>
      <c r="X31" s="140"/>
      <c r="Y31" s="138"/>
      <c r="Z31" s="138"/>
      <c r="AA31" s="138"/>
      <c r="AB31" s="138"/>
      <c r="AC31" s="138"/>
      <c r="AD31" s="138"/>
      <c r="AE31" s="139"/>
      <c r="AF31" s="140"/>
      <c r="AG31" s="138"/>
      <c r="AH31" s="138"/>
      <c r="AI31" s="138"/>
      <c r="AJ31" s="138"/>
      <c r="AK31" s="138"/>
      <c r="AL31" s="138" t="s">
        <v>280</v>
      </c>
      <c r="AM31" s="118"/>
    </row>
    <row r="32" spans="2:39" ht="24.75" customHeight="1" thickTop="1"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18"/>
    </row>
    <row r="33" spans="2:39" ht="24.75" customHeight="1">
      <c r="B33" s="119"/>
      <c r="C33" s="454" t="s">
        <v>147</v>
      </c>
      <c r="D33" s="455"/>
      <c r="E33" s="455"/>
      <c r="F33" s="455"/>
      <c r="G33" s="143" t="s">
        <v>272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18"/>
    </row>
    <row r="34" spans="2:39" ht="18" customHeight="1" thickBot="1">
      <c r="B34" s="119"/>
      <c r="C34" s="121">
        <f>AA27+1</f>
        <v>1</v>
      </c>
      <c r="D34" s="122"/>
      <c r="E34" s="122"/>
      <c r="F34" s="120"/>
      <c r="G34" s="121">
        <f>C34+1</f>
        <v>2</v>
      </c>
      <c r="H34" s="122"/>
      <c r="I34" s="122"/>
      <c r="J34" s="120"/>
      <c r="K34" s="123"/>
      <c r="L34" s="123"/>
      <c r="M34" s="123"/>
      <c r="N34" s="120"/>
      <c r="O34" s="121">
        <f>G34+1</f>
        <v>3</v>
      </c>
      <c r="P34" s="122"/>
      <c r="Q34" s="122"/>
      <c r="R34" s="120"/>
      <c r="S34" s="123"/>
      <c r="T34" s="123"/>
      <c r="U34" s="123"/>
      <c r="V34" s="120"/>
      <c r="W34" s="121">
        <f>O34+1</f>
        <v>4</v>
      </c>
      <c r="X34" s="122"/>
      <c r="Y34" s="122"/>
      <c r="Z34" s="120"/>
      <c r="AA34" s="123"/>
      <c r="AB34" s="123"/>
      <c r="AC34" s="123"/>
      <c r="AD34" s="120"/>
      <c r="AE34" s="121">
        <f>W34+1</f>
        <v>5</v>
      </c>
      <c r="AF34" s="122"/>
      <c r="AG34" s="122"/>
      <c r="AH34" s="120"/>
      <c r="AI34" s="123"/>
      <c r="AJ34" s="123"/>
      <c r="AK34" s="123"/>
      <c r="AL34" s="120"/>
      <c r="AM34" s="118"/>
    </row>
    <row r="35" spans="2:39" s="124" customFormat="1" ht="24.75" customHeight="1" thickTop="1">
      <c r="B35" s="125"/>
      <c r="C35" s="445" t="s">
        <v>281</v>
      </c>
      <c r="D35" s="446"/>
      <c r="E35" s="447"/>
      <c r="F35" s="142"/>
      <c r="G35" s="445" t="s">
        <v>282</v>
      </c>
      <c r="H35" s="446"/>
      <c r="I35" s="447"/>
      <c r="J35" s="126"/>
      <c r="K35" s="127">
        <f>C36+G36</f>
        <v>0</v>
      </c>
      <c r="L35" s="128" t="s">
        <v>148</v>
      </c>
      <c r="M35" s="128">
        <f>[1]!同時使用流量(K35,IF($G33="有",1,2))</f>
        <v>0</v>
      </c>
      <c r="N35" s="130"/>
      <c r="O35" s="456" t="s">
        <v>283</v>
      </c>
      <c r="P35" s="457"/>
      <c r="Q35" s="458"/>
      <c r="R35" s="126"/>
      <c r="S35" s="127">
        <f>K35+O36</f>
        <v>0</v>
      </c>
      <c r="T35" s="128" t="s">
        <v>148</v>
      </c>
      <c r="U35" s="128">
        <f>[1]!同時使用流量(S35,IF($G33="有",1,2))</f>
        <v>0</v>
      </c>
      <c r="V35" s="130"/>
      <c r="W35" s="445" t="s">
        <v>284</v>
      </c>
      <c r="X35" s="446"/>
      <c r="Y35" s="447"/>
      <c r="Z35" s="126"/>
      <c r="AA35" s="127">
        <f>S35+X36</f>
        <v>0</v>
      </c>
      <c r="AB35" s="128" t="s">
        <v>148</v>
      </c>
      <c r="AC35" s="128">
        <f>[1]!同時使用流量(AA35,IF($G33="有",1,2))</f>
        <v>0</v>
      </c>
      <c r="AD35" s="130"/>
      <c r="AE35" s="445"/>
      <c r="AF35" s="446"/>
      <c r="AG35" s="447"/>
      <c r="AH35" s="126"/>
      <c r="AI35" s="127">
        <f>AA35+AF36</f>
        <v>0</v>
      </c>
      <c r="AJ35" s="128" t="s">
        <v>148</v>
      </c>
      <c r="AK35" s="128">
        <f>[1]!同時使用流量(AI35,IF($G33="有",1,2))</f>
        <v>0</v>
      </c>
      <c r="AL35" s="130"/>
      <c r="AM35" s="131"/>
    </row>
    <row r="36" spans="2:39" ht="24.75" customHeight="1" thickBot="1">
      <c r="B36" s="119"/>
      <c r="C36" s="451">
        <f>AI7</f>
        <v>0</v>
      </c>
      <c r="D36" s="452"/>
      <c r="E36" s="453"/>
      <c r="F36" s="120"/>
      <c r="G36" s="451">
        <f>AI14</f>
        <v>0</v>
      </c>
      <c r="H36" s="452"/>
      <c r="I36" s="453"/>
      <c r="J36" s="132"/>
      <c r="K36" s="423">
        <f>[1]!SGP_VA呼び径(M35,$O$2,IF(C30="摩擦抵抗一定",TRUE,FALSE))</f>
        <v>0</v>
      </c>
      <c r="L36" s="424"/>
      <c r="M36" s="425"/>
      <c r="N36" s="133"/>
      <c r="O36" s="451">
        <f>AI21</f>
        <v>0</v>
      </c>
      <c r="P36" s="452"/>
      <c r="Q36" s="453"/>
      <c r="R36" s="132"/>
      <c r="S36" s="423">
        <f>[1]!SGP_VA呼び径(U35,$O$2,IF(K30="摩擦抵抗一定",TRUE,FALSE))</f>
        <v>0</v>
      </c>
      <c r="T36" s="424"/>
      <c r="U36" s="425"/>
      <c r="V36" s="133"/>
      <c r="W36" s="448">
        <f>AI28</f>
        <v>0</v>
      </c>
      <c r="X36" s="449"/>
      <c r="Y36" s="450"/>
      <c r="Z36" s="132"/>
      <c r="AA36" s="423">
        <f>[1]!SGP_VA呼び径(AC35,$O$2,IF(S30="摩擦抵抗一定",TRUE,FALSE))</f>
        <v>0</v>
      </c>
      <c r="AB36" s="424"/>
      <c r="AC36" s="425"/>
      <c r="AD36" s="133"/>
      <c r="AE36" s="451"/>
      <c r="AF36" s="452"/>
      <c r="AG36" s="453"/>
      <c r="AH36" s="132"/>
      <c r="AI36" s="423">
        <f>[1]!SGP_VA呼び径(AK35,$O$2,IF(AA30="摩擦抵抗一定",TRUE,FALSE))</f>
        <v>0</v>
      </c>
      <c r="AJ36" s="424"/>
      <c r="AK36" s="425"/>
      <c r="AL36" s="133"/>
      <c r="AM36" s="118"/>
    </row>
    <row r="37" spans="2:39" ht="24.75" customHeight="1" thickTop="1">
      <c r="B37" s="119"/>
      <c r="C37" s="134"/>
      <c r="D37" s="133"/>
      <c r="E37" s="120"/>
      <c r="F37" s="120"/>
      <c r="G37" s="134"/>
      <c r="H37" s="133"/>
      <c r="I37" s="120"/>
      <c r="J37" s="120"/>
      <c r="K37" s="120"/>
      <c r="L37" s="135"/>
      <c r="M37" s="120"/>
      <c r="N37" s="120"/>
      <c r="O37" s="134"/>
      <c r="P37" s="133"/>
      <c r="Q37" s="120"/>
      <c r="R37" s="120"/>
      <c r="S37" s="120"/>
      <c r="T37" s="135"/>
      <c r="U37" s="120"/>
      <c r="V37" s="120"/>
      <c r="W37" s="134"/>
      <c r="X37" s="133"/>
      <c r="Y37" s="120"/>
      <c r="Z37" s="120"/>
      <c r="AA37" s="120"/>
      <c r="AB37" s="135"/>
      <c r="AC37" s="120"/>
      <c r="AD37" s="120"/>
      <c r="AE37" s="134"/>
      <c r="AF37" s="133"/>
      <c r="AG37" s="120"/>
      <c r="AH37" s="120"/>
      <c r="AI37" s="120"/>
      <c r="AJ37" s="135"/>
      <c r="AK37" s="120"/>
      <c r="AL37" s="120"/>
      <c r="AM37" s="118"/>
    </row>
    <row r="38" spans="2:39" ht="24.75" customHeight="1" thickBot="1">
      <c r="B38" s="119"/>
      <c r="C38" s="136"/>
      <c r="D38" s="140"/>
      <c r="E38" s="138"/>
      <c r="F38" s="138"/>
      <c r="G38" s="139"/>
      <c r="H38" s="140"/>
      <c r="I38" s="138"/>
      <c r="J38" s="138"/>
      <c r="K38" s="138"/>
      <c r="L38" s="138"/>
      <c r="M38" s="138"/>
      <c r="N38" s="138"/>
      <c r="O38" s="139"/>
      <c r="P38" s="140"/>
      <c r="Q38" s="138"/>
      <c r="R38" s="138"/>
      <c r="S38" s="138"/>
      <c r="T38" s="138"/>
      <c r="U38" s="138"/>
      <c r="V38" s="138"/>
      <c r="W38" s="139"/>
      <c r="X38" s="140"/>
      <c r="Y38" s="138"/>
      <c r="Z38" s="138"/>
      <c r="AA38" s="138"/>
      <c r="AB38" s="138"/>
      <c r="AC38" s="138"/>
      <c r="AD38" s="138"/>
      <c r="AE38" s="139"/>
      <c r="AF38" s="140"/>
      <c r="AG38" s="138"/>
      <c r="AH38" s="138"/>
      <c r="AI38" s="138"/>
      <c r="AJ38" s="138"/>
      <c r="AK38" s="138"/>
      <c r="AL38" s="138" t="s">
        <v>285</v>
      </c>
      <c r="AM38" s="118"/>
    </row>
    <row r="39" spans="2:39" ht="24.75" customHeight="1" thickBot="1" thickTop="1">
      <c r="B39" s="119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18"/>
    </row>
    <row r="40" spans="2:39" s="124" customFormat="1" ht="24.75" customHeight="1" thickTop="1">
      <c r="B40" s="125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439" t="s">
        <v>149</v>
      </c>
      <c r="Z40" s="440"/>
      <c r="AA40" s="440"/>
      <c r="AB40" s="441"/>
      <c r="AC40" s="231"/>
      <c r="AD40" s="232"/>
      <c r="AE40" s="442" t="s">
        <v>150</v>
      </c>
      <c r="AF40" s="443"/>
      <c r="AG40" s="443"/>
      <c r="AH40" s="156" t="s">
        <v>148</v>
      </c>
      <c r="AI40" s="443" t="s">
        <v>286</v>
      </c>
      <c r="AJ40" s="443"/>
      <c r="AK40" s="444"/>
      <c r="AL40" s="142"/>
      <c r="AM40" s="131"/>
    </row>
    <row r="41" spans="2:39" ht="24.75" customHeight="1" thickBot="1"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433" t="s">
        <v>151</v>
      </c>
      <c r="Z41" s="434"/>
      <c r="AA41" s="434"/>
      <c r="AB41" s="435"/>
      <c r="AC41" s="233"/>
      <c r="AD41" s="116"/>
      <c r="AE41" s="436" t="s">
        <v>17</v>
      </c>
      <c r="AF41" s="437"/>
      <c r="AG41" s="437"/>
      <c r="AH41" s="437"/>
      <c r="AI41" s="437"/>
      <c r="AJ41" s="437"/>
      <c r="AK41" s="438"/>
      <c r="AL41" s="120"/>
      <c r="AM41" s="118"/>
    </row>
    <row r="42" spans="2:39" ht="24.75" customHeight="1" thickBot="1" thickTop="1">
      <c r="B42" s="234"/>
      <c r="C42" s="235"/>
      <c r="D42" s="235"/>
      <c r="E42" s="235"/>
      <c r="F42" s="235"/>
      <c r="G42" s="235"/>
      <c r="H42" s="235"/>
      <c r="I42" s="235"/>
      <c r="J42" s="235"/>
      <c r="K42" s="236"/>
      <c r="L42" s="236"/>
      <c r="M42" s="236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7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</sheetData>
  <sheetProtection password="E916" sheet="1" objects="1" scenarios="1" selectLockedCells="1" selectUnlockedCells="1"/>
  <mergeCells count="87">
    <mergeCell ref="S2:V2"/>
    <mergeCell ref="Z2:AB2"/>
    <mergeCell ref="C2:I2"/>
    <mergeCell ref="P2:R2"/>
    <mergeCell ref="C5:F5"/>
    <mergeCell ref="C7:E7"/>
    <mergeCell ref="G7:I7"/>
    <mergeCell ref="O7:Q7"/>
    <mergeCell ref="AC2:AM2"/>
    <mergeCell ref="C3:F3"/>
    <mergeCell ref="AE8:AG8"/>
    <mergeCell ref="AI8:AK8"/>
    <mergeCell ref="C8:E8"/>
    <mergeCell ref="G8:I8"/>
    <mergeCell ref="K8:M8"/>
    <mergeCell ref="O8:Q8"/>
    <mergeCell ref="W7:Y7"/>
    <mergeCell ref="AE7:AG7"/>
    <mergeCell ref="C12:F12"/>
    <mergeCell ref="C14:E14"/>
    <mergeCell ref="G14:I14"/>
    <mergeCell ref="O14:Q14"/>
    <mergeCell ref="AE14:AG14"/>
    <mergeCell ref="AE15:AG15"/>
    <mergeCell ref="C15:E15"/>
    <mergeCell ref="G15:I15"/>
    <mergeCell ref="K15:M15"/>
    <mergeCell ref="O15:Q15"/>
    <mergeCell ref="AI15:AK15"/>
    <mergeCell ref="C19:F19"/>
    <mergeCell ref="C21:E21"/>
    <mergeCell ref="G21:I21"/>
    <mergeCell ref="O21:Q21"/>
    <mergeCell ref="W21:Y21"/>
    <mergeCell ref="AE21:AG21"/>
    <mergeCell ref="S15:U15"/>
    <mergeCell ref="W15:Y15"/>
    <mergeCell ref="AA15:AC15"/>
    <mergeCell ref="AE22:AG22"/>
    <mergeCell ref="AI22:AK22"/>
    <mergeCell ref="C22:E22"/>
    <mergeCell ref="G22:I22"/>
    <mergeCell ref="O22:Q22"/>
    <mergeCell ref="S22:U22"/>
    <mergeCell ref="C26:F26"/>
    <mergeCell ref="C28:E28"/>
    <mergeCell ref="G28:I28"/>
    <mergeCell ref="O28:Q28"/>
    <mergeCell ref="AE28:AG28"/>
    <mergeCell ref="C29:E29"/>
    <mergeCell ref="G29:I29"/>
    <mergeCell ref="O29:Q29"/>
    <mergeCell ref="S29:U29"/>
    <mergeCell ref="W29:Y29"/>
    <mergeCell ref="AE29:AG29"/>
    <mergeCell ref="C33:F33"/>
    <mergeCell ref="C35:E35"/>
    <mergeCell ref="G35:I35"/>
    <mergeCell ref="O35:Q35"/>
    <mergeCell ref="C36:E36"/>
    <mergeCell ref="G36:I36"/>
    <mergeCell ref="K36:M36"/>
    <mergeCell ref="O36:Q36"/>
    <mergeCell ref="S36:U36"/>
    <mergeCell ref="W36:Y36"/>
    <mergeCell ref="AA36:AC36"/>
    <mergeCell ref="AE36:AG36"/>
    <mergeCell ref="AP2:AQ2"/>
    <mergeCell ref="Y41:AB41"/>
    <mergeCell ref="AE41:AK41"/>
    <mergeCell ref="AI36:AK36"/>
    <mergeCell ref="Y40:AB40"/>
    <mergeCell ref="AE40:AG40"/>
    <mergeCell ref="AI40:AK40"/>
    <mergeCell ref="AI29:AK29"/>
    <mergeCell ref="W35:Y35"/>
    <mergeCell ref="AE35:AG35"/>
    <mergeCell ref="S8:U8"/>
    <mergeCell ref="K22:M22"/>
    <mergeCell ref="K29:M29"/>
    <mergeCell ref="AA29:AC29"/>
    <mergeCell ref="W28:Y28"/>
    <mergeCell ref="W22:Y22"/>
    <mergeCell ref="AA22:AC22"/>
    <mergeCell ref="W14:Y14"/>
    <mergeCell ref="W8:Y8"/>
    <mergeCell ref="AA8:AC8"/>
  </mergeCells>
  <printOptions/>
  <pageMargins left="0.5905511811023623" right="0.1968503937007874" top="0.984251968503937" bottom="0.1968503937007874" header="0.3937007874015748" footer="0.1968503937007874"/>
  <pageSetup orientation="portrait" paperSize="9" scale="80" r:id="rId2"/>
  <headerFooter alignWithMargins="0">
    <oddHeader>&amp;L&amp;"MS UI Gothic,標準"&amp;12&amp;U給 排 水 衛 生 設 備&amp;"ＭＳ Ｐゴシック,標準"&amp;11&amp;U
  &amp;"MS UI Gothic,標準"給水配管の算定（高置タンクの場合）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Z68"/>
  <sheetViews>
    <sheetView showGridLines="0" showRowColHeaders="0" showZeros="0" zoomScale="110" zoomScaleNormal="110" workbookViewId="0" topLeftCell="A1">
      <pane ySplit="7" topLeftCell="BM8" activePane="bottomLeft" state="frozen"/>
      <selection pane="topLeft" activeCell="A1" sqref="A1"/>
      <selection pane="bottomLeft" activeCell="S33" sqref="S33"/>
    </sheetView>
  </sheetViews>
  <sheetFormatPr defaultColWidth="9.00390625" defaultRowHeight="13.5"/>
  <cols>
    <col min="1" max="1" width="1.625" style="38" customWidth="1"/>
    <col min="2" max="2" width="14.625" style="38" customWidth="1"/>
    <col min="3" max="6" width="3.125" style="38" customWidth="1"/>
    <col min="7" max="7" width="6.125" style="38" customWidth="1"/>
    <col min="8" max="9" width="3.125" style="38" customWidth="1"/>
    <col min="10" max="10" width="6.125" style="38" customWidth="1"/>
    <col min="11" max="12" width="3.125" style="38" customWidth="1"/>
    <col min="13" max="13" width="6.125" style="38" customWidth="1"/>
    <col min="14" max="15" width="3.125" style="38" customWidth="1"/>
    <col min="16" max="16" width="6.125" style="38" customWidth="1"/>
    <col min="17" max="18" width="3.125" style="38" customWidth="1"/>
    <col min="19" max="19" width="6.125" style="38" customWidth="1"/>
    <col min="20" max="21" width="3.125" style="38" customWidth="1"/>
    <col min="22" max="22" width="6.125" style="38" customWidth="1"/>
    <col min="23" max="23" width="2.625" style="38" customWidth="1"/>
    <col min="24" max="24" width="5.625" style="38" customWidth="1"/>
    <col min="25" max="26" width="8.625" style="38" customWidth="1"/>
    <col min="27" max="16384" width="9.00390625" style="38" customWidth="1"/>
  </cols>
  <sheetData>
    <row r="1" ht="9.75" customHeight="1" thickBot="1"/>
    <row r="2" spans="2:23" ht="12.75" customHeight="1">
      <c r="B2" s="594" t="s">
        <v>287</v>
      </c>
      <c r="C2" s="588" t="s">
        <v>288</v>
      </c>
      <c r="D2" s="589"/>
      <c r="E2" s="597" t="s">
        <v>289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9"/>
      <c r="W2" s="238"/>
    </row>
    <row r="3" spans="2:26" ht="12.75" customHeight="1">
      <c r="B3" s="595"/>
      <c r="C3" s="590"/>
      <c r="D3" s="591"/>
      <c r="E3" s="474">
        <v>1</v>
      </c>
      <c r="F3" s="547"/>
      <c r="G3" s="40" t="s">
        <v>290</v>
      </c>
      <c r="H3" s="474">
        <v>2</v>
      </c>
      <c r="I3" s="547"/>
      <c r="J3" s="40" t="s">
        <v>290</v>
      </c>
      <c r="K3" s="474">
        <v>3</v>
      </c>
      <c r="L3" s="547"/>
      <c r="M3" s="40" t="s">
        <v>290</v>
      </c>
      <c r="N3" s="474">
        <v>4</v>
      </c>
      <c r="O3" s="547"/>
      <c r="P3" s="40" t="s">
        <v>290</v>
      </c>
      <c r="Q3" s="474">
        <v>5</v>
      </c>
      <c r="R3" s="547"/>
      <c r="S3" s="40" t="s">
        <v>290</v>
      </c>
      <c r="T3" s="474" t="s">
        <v>291</v>
      </c>
      <c r="U3" s="547"/>
      <c r="V3" s="41" t="s">
        <v>290</v>
      </c>
      <c r="W3" s="239"/>
      <c r="X3" s="149"/>
      <c r="Y3" s="74" t="s">
        <v>292</v>
      </c>
      <c r="Z3" s="52"/>
    </row>
    <row r="4" spans="2:23" ht="12.75" customHeight="1">
      <c r="B4" s="595"/>
      <c r="C4" s="592"/>
      <c r="D4" s="593"/>
      <c r="E4" s="560" t="s">
        <v>293</v>
      </c>
      <c r="F4" s="561"/>
      <c r="G4" s="562" t="s">
        <v>294</v>
      </c>
      <c r="H4" s="560" t="s">
        <v>293</v>
      </c>
      <c r="I4" s="561"/>
      <c r="J4" s="562" t="s">
        <v>294</v>
      </c>
      <c r="K4" s="560" t="s">
        <v>293</v>
      </c>
      <c r="L4" s="561"/>
      <c r="M4" s="562" t="s">
        <v>294</v>
      </c>
      <c r="N4" s="560" t="s">
        <v>293</v>
      </c>
      <c r="O4" s="561"/>
      <c r="P4" s="562" t="s">
        <v>295</v>
      </c>
      <c r="Q4" s="560" t="s">
        <v>293</v>
      </c>
      <c r="R4" s="561"/>
      <c r="S4" s="562" t="s">
        <v>296</v>
      </c>
      <c r="T4" s="560" t="s">
        <v>293</v>
      </c>
      <c r="U4" s="561"/>
      <c r="V4" s="582" t="s">
        <v>297</v>
      </c>
      <c r="W4" s="158"/>
    </row>
    <row r="5" spans="2:23" ht="10.5" customHeight="1">
      <c r="B5" s="595"/>
      <c r="C5" s="497" t="s">
        <v>298</v>
      </c>
      <c r="D5" s="497" t="s">
        <v>299</v>
      </c>
      <c r="E5" s="486" t="s">
        <v>298</v>
      </c>
      <c r="F5" s="565" t="s">
        <v>299</v>
      </c>
      <c r="G5" s="563"/>
      <c r="H5" s="486" t="s">
        <v>298</v>
      </c>
      <c r="I5" s="565" t="s">
        <v>299</v>
      </c>
      <c r="J5" s="563"/>
      <c r="K5" s="486" t="s">
        <v>298</v>
      </c>
      <c r="L5" s="565" t="s">
        <v>299</v>
      </c>
      <c r="M5" s="563"/>
      <c r="N5" s="486" t="s">
        <v>298</v>
      </c>
      <c r="O5" s="565" t="s">
        <v>299</v>
      </c>
      <c r="P5" s="563"/>
      <c r="Q5" s="486" t="s">
        <v>298</v>
      </c>
      <c r="R5" s="565" t="s">
        <v>299</v>
      </c>
      <c r="S5" s="563"/>
      <c r="T5" s="486" t="s">
        <v>298</v>
      </c>
      <c r="U5" s="565" t="s">
        <v>299</v>
      </c>
      <c r="V5" s="583"/>
      <c r="W5" s="240"/>
    </row>
    <row r="6" spans="2:23" ht="10.5" customHeight="1">
      <c r="B6" s="595"/>
      <c r="C6" s="498"/>
      <c r="D6" s="498"/>
      <c r="E6" s="487"/>
      <c r="F6" s="566"/>
      <c r="G6" s="563"/>
      <c r="H6" s="487"/>
      <c r="I6" s="566"/>
      <c r="J6" s="563"/>
      <c r="K6" s="487"/>
      <c r="L6" s="566"/>
      <c r="M6" s="563"/>
      <c r="N6" s="487"/>
      <c r="O6" s="566"/>
      <c r="P6" s="563"/>
      <c r="Q6" s="487"/>
      <c r="R6" s="566"/>
      <c r="S6" s="563"/>
      <c r="T6" s="487"/>
      <c r="U6" s="566"/>
      <c r="V6" s="583"/>
      <c r="W6" s="240"/>
    </row>
    <row r="7" spans="2:23" ht="10.5" customHeight="1">
      <c r="B7" s="596"/>
      <c r="C7" s="499"/>
      <c r="D7" s="499"/>
      <c r="E7" s="488"/>
      <c r="F7" s="567"/>
      <c r="G7" s="564"/>
      <c r="H7" s="488"/>
      <c r="I7" s="567"/>
      <c r="J7" s="564"/>
      <c r="K7" s="488"/>
      <c r="L7" s="567"/>
      <c r="M7" s="564"/>
      <c r="N7" s="488"/>
      <c r="O7" s="567"/>
      <c r="P7" s="564"/>
      <c r="Q7" s="488"/>
      <c r="R7" s="567"/>
      <c r="S7" s="564"/>
      <c r="T7" s="488"/>
      <c r="U7" s="567"/>
      <c r="V7" s="584"/>
      <c r="W7" s="240"/>
    </row>
    <row r="8" spans="2:23" ht="15.75" customHeight="1">
      <c r="B8" s="42" t="s">
        <v>61</v>
      </c>
      <c r="C8" s="241">
        <v>10</v>
      </c>
      <c r="D8" s="242">
        <v>6</v>
      </c>
      <c r="E8" s="162"/>
      <c r="F8" s="243"/>
      <c r="G8" s="161">
        <f>SUM($C$8*E8,$D$8*F8)</f>
        <v>0</v>
      </c>
      <c r="H8" s="162"/>
      <c r="I8" s="243"/>
      <c r="J8" s="161">
        <f>SUM($C$8*H8,$D$8*I8)</f>
        <v>0</v>
      </c>
      <c r="K8" s="162"/>
      <c r="L8" s="243"/>
      <c r="M8" s="161">
        <f>SUM($C$8*K8,$D$8*L8)</f>
        <v>0</v>
      </c>
      <c r="N8" s="162"/>
      <c r="O8" s="243"/>
      <c r="P8" s="161">
        <f>SUM($C$8*N8,$D$8*O8)</f>
        <v>0</v>
      </c>
      <c r="Q8" s="162"/>
      <c r="R8" s="243"/>
      <c r="S8" s="161">
        <f>SUM($C$8*Q8,$D$8*R8)</f>
        <v>0</v>
      </c>
      <c r="T8" s="162"/>
      <c r="U8" s="243"/>
      <c r="V8" s="244">
        <f>SUM($C$8*T8,$D$8*U8)</f>
        <v>0</v>
      </c>
      <c r="W8" s="245"/>
    </row>
    <row r="9" spans="2:23" ht="12.75" customHeight="1">
      <c r="B9" s="507" t="s">
        <v>300</v>
      </c>
      <c r="C9" s="508"/>
      <c r="D9" s="44"/>
      <c r="E9" s="493">
        <f>SUM(E8,F8)</f>
        <v>0</v>
      </c>
      <c r="F9" s="494"/>
      <c r="G9" s="45"/>
      <c r="H9" s="493">
        <f>SUM(H8,I8)</f>
        <v>0</v>
      </c>
      <c r="I9" s="494"/>
      <c r="J9" s="45"/>
      <c r="K9" s="493">
        <f>SUM(K8,L8)</f>
        <v>0</v>
      </c>
      <c r="L9" s="494"/>
      <c r="M9" s="45"/>
      <c r="N9" s="493">
        <f>SUM(N8,O8)</f>
        <v>0</v>
      </c>
      <c r="O9" s="494"/>
      <c r="P9" s="45"/>
      <c r="Q9" s="493">
        <f>SUM(Q8,R8)</f>
        <v>0</v>
      </c>
      <c r="R9" s="494"/>
      <c r="S9" s="45"/>
      <c r="T9" s="493">
        <f>SUM(T8,U8)</f>
        <v>0</v>
      </c>
      <c r="U9" s="494"/>
      <c r="V9" s="46"/>
      <c r="W9" s="245"/>
    </row>
    <row r="10" spans="2:23" ht="12.75" customHeight="1">
      <c r="B10" s="509" t="s">
        <v>301</v>
      </c>
      <c r="C10" s="510"/>
      <c r="D10" s="47"/>
      <c r="E10" s="489">
        <f>E9</f>
        <v>0</v>
      </c>
      <c r="F10" s="490"/>
      <c r="G10" s="48"/>
      <c r="H10" s="489">
        <f>SUM(E10,H9)</f>
        <v>0</v>
      </c>
      <c r="I10" s="490"/>
      <c r="J10" s="48"/>
      <c r="K10" s="489">
        <f>SUM(H10,K9)</f>
        <v>0</v>
      </c>
      <c r="L10" s="490"/>
      <c r="M10" s="48"/>
      <c r="N10" s="489">
        <f>SUM(K10,N9)</f>
        <v>0</v>
      </c>
      <c r="O10" s="490"/>
      <c r="P10" s="48"/>
      <c r="Q10" s="489">
        <f>SUM(N10,Q9)</f>
        <v>0</v>
      </c>
      <c r="R10" s="490"/>
      <c r="S10" s="48"/>
      <c r="T10" s="489">
        <f>SUM(Q10,T9)</f>
        <v>0</v>
      </c>
      <c r="U10" s="490"/>
      <c r="V10" s="49"/>
      <c r="W10" s="245"/>
    </row>
    <row r="11" spans="2:23" ht="15.75" customHeight="1">
      <c r="B11" s="42" t="s">
        <v>62</v>
      </c>
      <c r="C11" s="241">
        <v>5</v>
      </c>
      <c r="D11" s="242">
        <v>3</v>
      </c>
      <c r="E11" s="246"/>
      <c r="F11" s="243"/>
      <c r="G11" s="247">
        <f>SUM($C$11*E11,$D$11*F11)</f>
        <v>0</v>
      </c>
      <c r="H11" s="246"/>
      <c r="I11" s="243"/>
      <c r="J11" s="247">
        <f>SUM($C$11*H11,$D$11*I11)</f>
        <v>0</v>
      </c>
      <c r="K11" s="246"/>
      <c r="L11" s="243"/>
      <c r="M11" s="247">
        <f>SUM($C$11*K11,$D$11*L11)</f>
        <v>0</v>
      </c>
      <c r="N11" s="246"/>
      <c r="O11" s="243"/>
      <c r="P11" s="247">
        <f>SUM($C$11*N11,$D$11*O11)</f>
        <v>0</v>
      </c>
      <c r="Q11" s="246"/>
      <c r="R11" s="243"/>
      <c r="S11" s="247">
        <f>SUM($C$11*Q11,$D$11*R11)</f>
        <v>0</v>
      </c>
      <c r="T11" s="246"/>
      <c r="U11" s="243"/>
      <c r="V11" s="248">
        <f>SUM($C$11*T11,$D$11*U11)</f>
        <v>0</v>
      </c>
      <c r="W11" s="245"/>
    </row>
    <row r="12" spans="2:23" ht="15.75" customHeight="1">
      <c r="B12" s="42" t="s">
        <v>63</v>
      </c>
      <c r="C12" s="241">
        <v>5</v>
      </c>
      <c r="D12" s="242">
        <v>5</v>
      </c>
      <c r="E12" s="246"/>
      <c r="F12" s="243"/>
      <c r="G12" s="247">
        <f>SUM($C$12*E12,$D$12*F12)</f>
        <v>0</v>
      </c>
      <c r="H12" s="246"/>
      <c r="I12" s="243"/>
      <c r="J12" s="247">
        <f>SUM($C$12*H12,$D$12*I12)</f>
        <v>0</v>
      </c>
      <c r="K12" s="246"/>
      <c r="L12" s="243"/>
      <c r="M12" s="247">
        <f>SUM($C$12*K12,$D$12*L12)</f>
        <v>0</v>
      </c>
      <c r="N12" s="246"/>
      <c r="O12" s="243"/>
      <c r="P12" s="247">
        <f>SUM($C$12*N12,$D$12*O12)</f>
        <v>0</v>
      </c>
      <c r="Q12" s="246"/>
      <c r="R12" s="243"/>
      <c r="S12" s="247">
        <f>SUM($C$12*Q12,$D$12*R12)</f>
        <v>0</v>
      </c>
      <c r="T12" s="246"/>
      <c r="U12" s="243"/>
      <c r="V12" s="248">
        <f>SUM($C$12*T12,$D$12*U12)</f>
        <v>0</v>
      </c>
      <c r="W12" s="245"/>
    </row>
    <row r="13" spans="2:23" ht="15.75" customHeight="1">
      <c r="B13" s="42" t="s">
        <v>64</v>
      </c>
      <c r="C13" s="241">
        <v>3</v>
      </c>
      <c r="D13" s="242">
        <v>3</v>
      </c>
      <c r="E13" s="246"/>
      <c r="F13" s="243"/>
      <c r="G13" s="247">
        <f>SUM($C$13*E13,$D$13*F13)</f>
        <v>0</v>
      </c>
      <c r="H13" s="246"/>
      <c r="I13" s="243"/>
      <c r="J13" s="247">
        <f>SUM($C$13*H13,$D$13*I13)</f>
        <v>0</v>
      </c>
      <c r="K13" s="246"/>
      <c r="L13" s="243"/>
      <c r="M13" s="247">
        <f>SUM($C$13*K13,$D$13*L13)</f>
        <v>0</v>
      </c>
      <c r="N13" s="246"/>
      <c r="O13" s="243"/>
      <c r="P13" s="247">
        <f>SUM($C$13*N13,$D$13*O13)</f>
        <v>0</v>
      </c>
      <c r="Q13" s="246"/>
      <c r="R13" s="243"/>
      <c r="S13" s="247">
        <f>SUM($C$13*Q13,$D$13*R13)</f>
        <v>0</v>
      </c>
      <c r="T13" s="246"/>
      <c r="U13" s="243"/>
      <c r="V13" s="248">
        <f>SUM($C$13*T13,$D$13*U13)</f>
        <v>0</v>
      </c>
      <c r="W13" s="245"/>
    </row>
    <row r="14" spans="2:23" ht="15.75" customHeight="1">
      <c r="B14" s="42" t="s">
        <v>65</v>
      </c>
      <c r="C14" s="241">
        <v>2</v>
      </c>
      <c r="D14" s="242">
        <v>1</v>
      </c>
      <c r="E14" s="246"/>
      <c r="F14" s="243"/>
      <c r="G14" s="247">
        <f>SUM($C$14*E14,$D$14*F14)</f>
        <v>0</v>
      </c>
      <c r="H14" s="246"/>
      <c r="I14" s="243"/>
      <c r="J14" s="247">
        <f>SUM($C$14*H14,$D$14*I14)</f>
        <v>0</v>
      </c>
      <c r="K14" s="246"/>
      <c r="L14" s="243"/>
      <c r="M14" s="247">
        <f>SUM($C$14*K14,$D$14*L14)</f>
        <v>0</v>
      </c>
      <c r="N14" s="246"/>
      <c r="O14" s="243"/>
      <c r="P14" s="247">
        <f>SUM($C$14*N14,$D$14*O14)</f>
        <v>0</v>
      </c>
      <c r="Q14" s="246"/>
      <c r="R14" s="243"/>
      <c r="S14" s="247">
        <f>SUM($C$14*Q14,$D$14*R14)</f>
        <v>0</v>
      </c>
      <c r="T14" s="246"/>
      <c r="U14" s="243"/>
      <c r="V14" s="248">
        <f>SUM($C$14*T14,$D$14*U14)</f>
        <v>0</v>
      </c>
      <c r="W14" s="245"/>
    </row>
    <row r="15" spans="2:23" ht="15.75" customHeight="1">
      <c r="B15" s="42" t="s">
        <v>66</v>
      </c>
      <c r="C15" s="241">
        <v>1</v>
      </c>
      <c r="D15" s="242">
        <v>0.5</v>
      </c>
      <c r="E15" s="246"/>
      <c r="F15" s="243"/>
      <c r="G15" s="247">
        <f>SUM($C$15*E15,$D$15*F15)</f>
        <v>0</v>
      </c>
      <c r="H15" s="246"/>
      <c r="I15" s="243"/>
      <c r="J15" s="247">
        <f>SUM($C$15*H15,$D$15*I15)</f>
        <v>0</v>
      </c>
      <c r="K15" s="246"/>
      <c r="L15" s="243"/>
      <c r="M15" s="247">
        <f>SUM($C$15*K15,$D$15*L15)</f>
        <v>0</v>
      </c>
      <c r="N15" s="246"/>
      <c r="O15" s="243"/>
      <c r="P15" s="247">
        <f>SUM($C$15*N15,$D$15*O15)</f>
        <v>0</v>
      </c>
      <c r="Q15" s="246"/>
      <c r="R15" s="243"/>
      <c r="S15" s="247">
        <f>SUM($C$15*Q15,$D$15*R15)</f>
        <v>0</v>
      </c>
      <c r="T15" s="246"/>
      <c r="U15" s="243"/>
      <c r="V15" s="248">
        <f>SUM($C$15*T15,$D$15*U15)</f>
        <v>0</v>
      </c>
      <c r="W15" s="245"/>
    </row>
    <row r="16" spans="2:23" ht="15.75" customHeight="1">
      <c r="B16" s="42" t="s">
        <v>302</v>
      </c>
      <c r="C16" s="241">
        <v>3</v>
      </c>
      <c r="D16" s="242">
        <v>3</v>
      </c>
      <c r="E16" s="246"/>
      <c r="F16" s="243"/>
      <c r="G16" s="247">
        <f>SUM($C$16*E16,$D$16*F16)</f>
        <v>0</v>
      </c>
      <c r="H16" s="246"/>
      <c r="I16" s="243"/>
      <c r="J16" s="247">
        <f>SUM($C$16*H16,$D$16*I16)</f>
        <v>0</v>
      </c>
      <c r="K16" s="246"/>
      <c r="L16" s="243"/>
      <c r="M16" s="247">
        <f>SUM($C$16*K16,$D$16*L16)</f>
        <v>0</v>
      </c>
      <c r="N16" s="246"/>
      <c r="O16" s="243"/>
      <c r="P16" s="247">
        <f>SUM($C$16*N16,$D$16*O16)</f>
        <v>0</v>
      </c>
      <c r="Q16" s="246"/>
      <c r="R16" s="243"/>
      <c r="S16" s="247">
        <f>SUM($C$16*Q16,$D$16*R16)</f>
        <v>0</v>
      </c>
      <c r="T16" s="246"/>
      <c r="U16" s="243"/>
      <c r="V16" s="248">
        <f>SUM($C$16*T16,$D$16*U16)</f>
        <v>0</v>
      </c>
      <c r="W16" s="245"/>
    </row>
    <row r="17" spans="2:23" ht="15.75" customHeight="1">
      <c r="B17" s="42" t="s">
        <v>67</v>
      </c>
      <c r="C17" s="241">
        <v>3</v>
      </c>
      <c r="D17" s="242">
        <v>3</v>
      </c>
      <c r="E17" s="246"/>
      <c r="F17" s="243"/>
      <c r="G17" s="247">
        <f>SUM($C$17*E17,$D$17*F17)</f>
        <v>0</v>
      </c>
      <c r="H17" s="246"/>
      <c r="I17" s="243"/>
      <c r="J17" s="247">
        <f>SUM($C$17*H17,$D$17*I17)</f>
        <v>0</v>
      </c>
      <c r="K17" s="246"/>
      <c r="L17" s="243"/>
      <c r="M17" s="247">
        <f>SUM($C$17*K17,$D$17*L17)</f>
        <v>0</v>
      </c>
      <c r="N17" s="246"/>
      <c r="O17" s="243"/>
      <c r="P17" s="247">
        <f>SUM($C$17*N17,$D$17*O17)</f>
        <v>0</v>
      </c>
      <c r="Q17" s="246"/>
      <c r="R17" s="243"/>
      <c r="S17" s="247">
        <f>SUM($C$17*Q17,$D$17*R17)</f>
        <v>0</v>
      </c>
      <c r="T17" s="246"/>
      <c r="U17" s="243"/>
      <c r="V17" s="248">
        <f>SUM($C$17*T17,$D$17*U17)</f>
        <v>0</v>
      </c>
      <c r="W17" s="245"/>
    </row>
    <row r="18" spans="2:23" ht="15.75" customHeight="1">
      <c r="B18" s="42" t="s">
        <v>68</v>
      </c>
      <c r="C18" s="241">
        <v>3</v>
      </c>
      <c r="D18" s="242">
        <v>3</v>
      </c>
      <c r="E18" s="246"/>
      <c r="F18" s="243"/>
      <c r="G18" s="247">
        <f>SUM($C$18*E18,$D$18*F18)</f>
        <v>0</v>
      </c>
      <c r="H18" s="246"/>
      <c r="I18" s="243"/>
      <c r="J18" s="247">
        <f>SUM($C$18*H18,$D$18*I18)</f>
        <v>0</v>
      </c>
      <c r="K18" s="246"/>
      <c r="L18" s="243"/>
      <c r="M18" s="247">
        <f>SUM($C$18*K18,$D$18*L18)</f>
        <v>0</v>
      </c>
      <c r="N18" s="246"/>
      <c r="O18" s="243"/>
      <c r="P18" s="247">
        <f>SUM($C$18*N18,$D$18*O18)</f>
        <v>0</v>
      </c>
      <c r="Q18" s="246"/>
      <c r="R18" s="243"/>
      <c r="S18" s="247">
        <f>SUM($C$18*Q18,$D$18*R18)</f>
        <v>0</v>
      </c>
      <c r="T18" s="246"/>
      <c r="U18" s="243"/>
      <c r="V18" s="248">
        <f>SUM($C$18*T18,$D$18*U18)</f>
        <v>0</v>
      </c>
      <c r="W18" s="245"/>
    </row>
    <row r="19" spans="2:23" ht="15.75" customHeight="1">
      <c r="B19" s="42" t="s">
        <v>69</v>
      </c>
      <c r="C19" s="241">
        <v>4</v>
      </c>
      <c r="D19" s="242">
        <v>2</v>
      </c>
      <c r="E19" s="246"/>
      <c r="F19" s="243"/>
      <c r="G19" s="247">
        <f>SUM($C$19*E19,$D$19*F19)</f>
        <v>0</v>
      </c>
      <c r="H19" s="246"/>
      <c r="I19" s="243"/>
      <c r="J19" s="247">
        <f>SUM($C$19*H19,$D$19*I19)</f>
        <v>0</v>
      </c>
      <c r="K19" s="246"/>
      <c r="L19" s="243"/>
      <c r="M19" s="247">
        <f>SUM($C$19*K19,$D$19*L19)</f>
        <v>0</v>
      </c>
      <c r="N19" s="246"/>
      <c r="O19" s="243"/>
      <c r="P19" s="247">
        <f>SUM($C$19*N19,$D$19*O19)</f>
        <v>0</v>
      </c>
      <c r="Q19" s="246"/>
      <c r="R19" s="243"/>
      <c r="S19" s="247">
        <f>SUM($C$19*Q19,$D$19*R19)</f>
        <v>0</v>
      </c>
      <c r="T19" s="246"/>
      <c r="U19" s="243"/>
      <c r="V19" s="248">
        <f>SUM($C$19*T19,$D$19*U19)</f>
        <v>0</v>
      </c>
      <c r="W19" s="245"/>
    </row>
    <row r="20" spans="2:23" ht="15.75" customHeight="1">
      <c r="B20" s="42" t="s">
        <v>70</v>
      </c>
      <c r="C20" s="241">
        <v>3</v>
      </c>
      <c r="D20" s="242">
        <v>1.5</v>
      </c>
      <c r="E20" s="246"/>
      <c r="F20" s="243"/>
      <c r="G20" s="247">
        <f>SUM($C$20*E20,$D$20*F20)</f>
        <v>0</v>
      </c>
      <c r="H20" s="246"/>
      <c r="I20" s="243"/>
      <c r="J20" s="247">
        <f>SUM($C$20*H20,$D$20*I20)</f>
        <v>0</v>
      </c>
      <c r="K20" s="246"/>
      <c r="L20" s="243"/>
      <c r="M20" s="247">
        <f>SUM($C$20*K20,$D$20*L20)</f>
        <v>0</v>
      </c>
      <c r="N20" s="246"/>
      <c r="O20" s="243"/>
      <c r="P20" s="247">
        <f>SUM($C$20*N20,$D$20*O20)</f>
        <v>0</v>
      </c>
      <c r="Q20" s="246"/>
      <c r="R20" s="243"/>
      <c r="S20" s="247">
        <f>SUM($C$20*Q20,$D$20*R20)</f>
        <v>0</v>
      </c>
      <c r="T20" s="246"/>
      <c r="U20" s="243"/>
      <c r="V20" s="248">
        <f>SUM($C$20*T20,$D$20*U20)</f>
        <v>0</v>
      </c>
      <c r="W20" s="245"/>
    </row>
    <row r="21" spans="2:23" ht="15.75" customHeight="1">
      <c r="B21" s="42" t="s">
        <v>114</v>
      </c>
      <c r="C21" s="241">
        <v>5</v>
      </c>
      <c r="D21" s="242">
        <v>5</v>
      </c>
      <c r="E21" s="246"/>
      <c r="F21" s="243"/>
      <c r="G21" s="247">
        <f>SUM($C$21*E21,$D$21*F21)</f>
        <v>0</v>
      </c>
      <c r="H21" s="246"/>
      <c r="I21" s="243"/>
      <c r="J21" s="247">
        <f>SUM($C$21*H21,$D$21*I21)</f>
        <v>0</v>
      </c>
      <c r="K21" s="246"/>
      <c r="L21" s="243"/>
      <c r="M21" s="247">
        <f>SUM($C$21*K21,$D$21*L21)</f>
        <v>0</v>
      </c>
      <c r="N21" s="246"/>
      <c r="O21" s="243"/>
      <c r="P21" s="247">
        <f>SUM($C$21*N21,$D$21*O21)</f>
        <v>0</v>
      </c>
      <c r="Q21" s="246"/>
      <c r="R21" s="243"/>
      <c r="S21" s="247">
        <f>SUM($C$21*Q21,$D$21*R21)</f>
        <v>0</v>
      </c>
      <c r="T21" s="246"/>
      <c r="U21" s="243"/>
      <c r="V21" s="248">
        <f>SUM($C$21*T21,$D$21*U21)</f>
        <v>0</v>
      </c>
      <c r="W21" s="245"/>
    </row>
    <row r="22" spans="2:23" ht="15.75" customHeight="1">
      <c r="B22" s="42" t="s">
        <v>71</v>
      </c>
      <c r="C22" s="241">
        <v>3</v>
      </c>
      <c r="D22" s="242">
        <v>3</v>
      </c>
      <c r="E22" s="246"/>
      <c r="F22" s="243"/>
      <c r="G22" s="247">
        <f>SUM($C$22*E22,$D$22*F22)</f>
        <v>0</v>
      </c>
      <c r="H22" s="246"/>
      <c r="I22" s="243"/>
      <c r="J22" s="247">
        <f>SUM($C$22*H22,$D$22*I22)</f>
        <v>0</v>
      </c>
      <c r="K22" s="246"/>
      <c r="L22" s="243"/>
      <c r="M22" s="247">
        <f>SUM($C$22*K22,$D$22*L22)</f>
        <v>0</v>
      </c>
      <c r="N22" s="246"/>
      <c r="O22" s="243"/>
      <c r="P22" s="247">
        <f>SUM($C$22*N22,$D$22*O22)</f>
        <v>0</v>
      </c>
      <c r="Q22" s="246"/>
      <c r="R22" s="243"/>
      <c r="S22" s="247">
        <f>SUM($C$22*Q22,$D$22*R22)</f>
        <v>0</v>
      </c>
      <c r="T22" s="246"/>
      <c r="U22" s="243"/>
      <c r="V22" s="248">
        <f>SUM($C$22*T22,$D$22*U22)</f>
        <v>0</v>
      </c>
      <c r="W22" s="245"/>
    </row>
    <row r="23" spans="2:23" ht="15.75" customHeight="1">
      <c r="B23" s="42" t="s">
        <v>303</v>
      </c>
      <c r="C23" s="241">
        <v>2</v>
      </c>
      <c r="D23" s="242">
        <v>2</v>
      </c>
      <c r="E23" s="246"/>
      <c r="F23" s="243"/>
      <c r="G23" s="247">
        <f>SUM($C$23*E23,$D$23*F23)</f>
        <v>0</v>
      </c>
      <c r="H23" s="246"/>
      <c r="I23" s="243"/>
      <c r="J23" s="247">
        <f>SUM($C$23*H23,$D$23*I23)</f>
        <v>0</v>
      </c>
      <c r="K23" s="246"/>
      <c r="L23" s="243"/>
      <c r="M23" s="247">
        <f>SUM($C$23*K23,$D$23*L23)</f>
        <v>0</v>
      </c>
      <c r="N23" s="246"/>
      <c r="O23" s="243"/>
      <c r="P23" s="247">
        <f>SUM($C$23*N23,$D$23*O23)</f>
        <v>0</v>
      </c>
      <c r="Q23" s="246"/>
      <c r="R23" s="243"/>
      <c r="S23" s="247">
        <f>SUM($C$23*Q23,$D$23*R23)</f>
        <v>0</v>
      </c>
      <c r="T23" s="246"/>
      <c r="U23" s="243"/>
      <c r="V23" s="248">
        <f>SUM($C$23*T23,$D$23*U23)</f>
        <v>0</v>
      </c>
      <c r="W23" s="245"/>
    </row>
    <row r="24" spans="2:23" ht="15.75" customHeight="1">
      <c r="B24" s="42" t="s">
        <v>72</v>
      </c>
      <c r="C24" s="241">
        <v>4</v>
      </c>
      <c r="D24" s="242">
        <v>3</v>
      </c>
      <c r="E24" s="246"/>
      <c r="F24" s="243"/>
      <c r="G24" s="247">
        <f>SUM($C$24*E24,$D$24*F24)</f>
        <v>0</v>
      </c>
      <c r="H24" s="246"/>
      <c r="I24" s="243"/>
      <c r="J24" s="247">
        <f>SUM($C$24*H24,$D$24*I24)</f>
        <v>0</v>
      </c>
      <c r="K24" s="246"/>
      <c r="L24" s="243"/>
      <c r="M24" s="247">
        <f>SUM($C$24*K24,$D$24*L24)</f>
        <v>0</v>
      </c>
      <c r="N24" s="246"/>
      <c r="O24" s="243"/>
      <c r="P24" s="247">
        <f>SUM($C$24*N24,$D$24*O24)</f>
        <v>0</v>
      </c>
      <c r="Q24" s="246"/>
      <c r="R24" s="243"/>
      <c r="S24" s="247">
        <f>SUM($C$24*Q24,$D$24*R24)</f>
        <v>0</v>
      </c>
      <c r="T24" s="246"/>
      <c r="U24" s="243"/>
      <c r="V24" s="248">
        <f>SUM($C$24*T24,$D$24*U24)</f>
        <v>0</v>
      </c>
      <c r="W24" s="245"/>
    </row>
    <row r="25" spans="2:23" ht="15.75" customHeight="1">
      <c r="B25" s="42" t="s">
        <v>73</v>
      </c>
      <c r="C25" s="241">
        <v>4</v>
      </c>
      <c r="D25" s="242">
        <v>2</v>
      </c>
      <c r="E25" s="246"/>
      <c r="F25" s="243"/>
      <c r="G25" s="247">
        <f>SUM($C$25*E25,$D$25*F25)</f>
        <v>0</v>
      </c>
      <c r="H25" s="246"/>
      <c r="I25" s="243"/>
      <c r="J25" s="247">
        <f>SUM($C$25*H25,$D$25*I25)</f>
        <v>0</v>
      </c>
      <c r="K25" s="246"/>
      <c r="L25" s="243"/>
      <c r="M25" s="247">
        <f>SUM($C$25*K25,$D$25*L25)</f>
        <v>0</v>
      </c>
      <c r="N25" s="246"/>
      <c r="O25" s="243"/>
      <c r="P25" s="247">
        <f>SUM($C$25*N25,$D$25*O25)</f>
        <v>0</v>
      </c>
      <c r="Q25" s="246"/>
      <c r="R25" s="243"/>
      <c r="S25" s="247">
        <f>SUM($C$25*Q25,$D$25*R25)</f>
        <v>0</v>
      </c>
      <c r="T25" s="246"/>
      <c r="U25" s="243"/>
      <c r="V25" s="248">
        <f>SUM($C$25*T25,$D$25*U25)</f>
        <v>0</v>
      </c>
      <c r="W25" s="245"/>
    </row>
    <row r="26" spans="2:23" ht="15.75" customHeight="1">
      <c r="B26" s="42" t="s">
        <v>74</v>
      </c>
      <c r="C26" s="241">
        <v>4</v>
      </c>
      <c r="D26" s="242">
        <v>2</v>
      </c>
      <c r="E26" s="246"/>
      <c r="F26" s="243"/>
      <c r="G26" s="247">
        <f>SUM($C$26*E26,$D$26*F26)</f>
        <v>0</v>
      </c>
      <c r="H26" s="246"/>
      <c r="I26" s="243"/>
      <c r="J26" s="247">
        <f>SUM($C$26*H26,$D$26*I26)</f>
        <v>0</v>
      </c>
      <c r="K26" s="246"/>
      <c r="L26" s="243"/>
      <c r="M26" s="247">
        <f>SUM($C$26*K26,$D$26*L26)</f>
        <v>0</v>
      </c>
      <c r="N26" s="246"/>
      <c r="O26" s="243"/>
      <c r="P26" s="247">
        <f>SUM($C$26*N26,$D$26*O26)</f>
        <v>0</v>
      </c>
      <c r="Q26" s="246"/>
      <c r="R26" s="243"/>
      <c r="S26" s="247">
        <f>SUM($C$26*Q26,$D$26*R26)</f>
        <v>0</v>
      </c>
      <c r="T26" s="246"/>
      <c r="U26" s="243"/>
      <c r="V26" s="248">
        <f>SUM($C$26*T26,$D$26*U26)</f>
        <v>0</v>
      </c>
      <c r="W26" s="245"/>
    </row>
    <row r="27" spans="2:23" ht="15.75" customHeight="1">
      <c r="B27" s="42" t="s">
        <v>304</v>
      </c>
      <c r="C27" s="241">
        <v>8</v>
      </c>
      <c r="D27" s="242">
        <v>8</v>
      </c>
      <c r="E27" s="246"/>
      <c r="F27" s="243"/>
      <c r="G27" s="247">
        <f>SUM($C$27*E27,$D$27*F27)</f>
        <v>0</v>
      </c>
      <c r="H27" s="246"/>
      <c r="I27" s="243"/>
      <c r="J27" s="247">
        <f>SUM($C$27*H27,$D$27*I27)</f>
        <v>0</v>
      </c>
      <c r="K27" s="246"/>
      <c r="L27" s="243"/>
      <c r="M27" s="247">
        <f>SUM($C$27*K27,$D$27*L27)</f>
        <v>0</v>
      </c>
      <c r="N27" s="246"/>
      <c r="O27" s="243"/>
      <c r="P27" s="247">
        <f>SUM($C$27*N27,$D$27*O27)</f>
        <v>0</v>
      </c>
      <c r="Q27" s="246"/>
      <c r="R27" s="243"/>
      <c r="S27" s="247">
        <f>SUM($C$27*Q27,$D$27*R27)</f>
        <v>0</v>
      </c>
      <c r="T27" s="246"/>
      <c r="U27" s="243"/>
      <c r="V27" s="248">
        <f>SUM($C$27*T27,$D$27*U27)</f>
        <v>0</v>
      </c>
      <c r="W27" s="245"/>
    </row>
    <row r="28" spans="2:23" ht="15.75" customHeight="1">
      <c r="B28" s="42" t="s">
        <v>115</v>
      </c>
      <c r="C28" s="241">
        <v>6</v>
      </c>
      <c r="D28" s="242">
        <v>6</v>
      </c>
      <c r="E28" s="246"/>
      <c r="F28" s="243"/>
      <c r="G28" s="247">
        <f>SUM($C$28*E28,$D$28*F28)</f>
        <v>0</v>
      </c>
      <c r="H28" s="246"/>
      <c r="I28" s="243"/>
      <c r="J28" s="247">
        <f>SUM($C$28*H28,$D$28*I28)</f>
        <v>0</v>
      </c>
      <c r="K28" s="246"/>
      <c r="L28" s="243"/>
      <c r="M28" s="247">
        <f>SUM($C$28*K28,$D$28*L28)</f>
        <v>0</v>
      </c>
      <c r="N28" s="246"/>
      <c r="O28" s="243"/>
      <c r="P28" s="247">
        <f>SUM($C$28*N28,$D$28*O28)</f>
        <v>0</v>
      </c>
      <c r="Q28" s="246"/>
      <c r="R28" s="243"/>
      <c r="S28" s="247">
        <f>SUM($C$28*Q28,$D$28*R28)</f>
        <v>0</v>
      </c>
      <c r="T28" s="246"/>
      <c r="U28" s="243"/>
      <c r="V28" s="248">
        <f>SUM($C$28*T28,$D$28*U28)</f>
        <v>0</v>
      </c>
      <c r="W28" s="245"/>
    </row>
    <row r="29" spans="2:23" ht="15.75" customHeight="1">
      <c r="B29" s="42" t="s">
        <v>75</v>
      </c>
      <c r="C29" s="241">
        <v>2</v>
      </c>
      <c r="D29" s="242">
        <v>1</v>
      </c>
      <c r="E29" s="246"/>
      <c r="F29" s="243"/>
      <c r="G29" s="247">
        <f>SUM($C$29*E29,$D$29*F29)</f>
        <v>0</v>
      </c>
      <c r="H29" s="246"/>
      <c r="I29" s="243"/>
      <c r="J29" s="247">
        <f>SUM($C$29*H29,$D$29*I29)</f>
        <v>0</v>
      </c>
      <c r="K29" s="246"/>
      <c r="L29" s="243"/>
      <c r="M29" s="247">
        <f>SUM($C$29*K29,$D$29*L29)</f>
        <v>0</v>
      </c>
      <c r="N29" s="246"/>
      <c r="O29" s="243"/>
      <c r="P29" s="247">
        <f>SUM($C$29*N29,$D$29*O29)</f>
        <v>0</v>
      </c>
      <c r="Q29" s="246"/>
      <c r="R29" s="243"/>
      <c r="S29" s="247">
        <f>SUM($C$29*Q29,$D$29*R29)</f>
        <v>0</v>
      </c>
      <c r="T29" s="246"/>
      <c r="U29" s="243"/>
      <c r="V29" s="248">
        <f>SUM($C$29*T29,$D$29*U29)</f>
        <v>0</v>
      </c>
      <c r="W29" s="245"/>
    </row>
    <row r="30" spans="2:23" ht="15.75" customHeight="1">
      <c r="B30" s="42" t="s">
        <v>76</v>
      </c>
      <c r="C30" s="241">
        <v>2</v>
      </c>
      <c r="D30" s="242">
        <v>2</v>
      </c>
      <c r="E30" s="246"/>
      <c r="F30" s="243"/>
      <c r="G30" s="247">
        <f>SUM($C$30*E30,$D$30*F30)</f>
        <v>0</v>
      </c>
      <c r="H30" s="246"/>
      <c r="I30" s="243"/>
      <c r="J30" s="247">
        <f>SUM($C$30*H30,$D$30*I30)</f>
        <v>0</v>
      </c>
      <c r="K30" s="246"/>
      <c r="L30" s="243"/>
      <c r="M30" s="247">
        <f>SUM($C$30*K30,$D$30*L30)</f>
        <v>0</v>
      </c>
      <c r="N30" s="246"/>
      <c r="O30" s="243"/>
      <c r="P30" s="247">
        <f>SUM($C$30*N30,$D$30*O30)</f>
        <v>0</v>
      </c>
      <c r="Q30" s="246"/>
      <c r="R30" s="243"/>
      <c r="S30" s="247">
        <f>SUM($C$30*Q30,$D$30*R30)</f>
        <v>0</v>
      </c>
      <c r="T30" s="246"/>
      <c r="U30" s="243"/>
      <c r="V30" s="248">
        <f>SUM($C$30*T30,$D$30*U30)</f>
        <v>0</v>
      </c>
      <c r="W30" s="245"/>
    </row>
    <row r="31" spans="2:23" ht="15.75" customHeight="1">
      <c r="B31" s="42" t="s">
        <v>77</v>
      </c>
      <c r="C31" s="241">
        <v>5</v>
      </c>
      <c r="D31" s="241">
        <v>5</v>
      </c>
      <c r="E31" s="246"/>
      <c r="F31" s="243"/>
      <c r="G31" s="247">
        <f>SUM($C$31*E31,$D$31*F31)</f>
        <v>0</v>
      </c>
      <c r="H31" s="246"/>
      <c r="I31" s="243"/>
      <c r="J31" s="247">
        <f>SUM($C$31*H31,$D$31*I31)</f>
        <v>0</v>
      </c>
      <c r="K31" s="246"/>
      <c r="L31" s="243"/>
      <c r="M31" s="247">
        <f>SUM($C$31*K31,$D$31*L31)</f>
        <v>0</v>
      </c>
      <c r="N31" s="246"/>
      <c r="O31" s="243"/>
      <c r="P31" s="247">
        <f>SUM($C$31*N31,$D$31*O31)</f>
        <v>0</v>
      </c>
      <c r="Q31" s="246"/>
      <c r="R31" s="243"/>
      <c r="S31" s="247">
        <f>SUM($C$31*Q31,$D$31*R31)</f>
        <v>0</v>
      </c>
      <c r="T31" s="246"/>
      <c r="U31" s="243"/>
      <c r="V31" s="248">
        <f>SUM($C$31*T31,$D$31*U31)</f>
        <v>0</v>
      </c>
      <c r="W31" s="245"/>
    </row>
    <row r="32" spans="2:23" ht="16.5" customHeight="1">
      <c r="B32" s="504" t="s">
        <v>305</v>
      </c>
      <c r="C32" s="505"/>
      <c r="D32" s="506"/>
      <c r="E32" s="495">
        <f>SUM(E8,E11:E31,F8,F11:F31)</f>
        <v>0</v>
      </c>
      <c r="F32" s="496"/>
      <c r="G32" s="249">
        <f>SUM(G8:G31)</f>
        <v>0</v>
      </c>
      <c r="H32" s="495">
        <f>SUM(H8,H11:H31,I8,I11:I31)</f>
        <v>0</v>
      </c>
      <c r="I32" s="496"/>
      <c r="J32" s="249">
        <f>SUM(J8:J31)</f>
        <v>0</v>
      </c>
      <c r="K32" s="495">
        <f>SUM(K8,K11:K31,L8,L11:L31)</f>
        <v>0</v>
      </c>
      <c r="L32" s="496"/>
      <c r="M32" s="249">
        <f>SUM(M8:M31)</f>
        <v>0</v>
      </c>
      <c r="N32" s="495">
        <f>SUM(N8,N11:N31,O8,O11:O31)</f>
        <v>0</v>
      </c>
      <c r="O32" s="496"/>
      <c r="P32" s="249">
        <f>SUM(P8:P31)</f>
        <v>0</v>
      </c>
      <c r="Q32" s="495">
        <f>SUM(Q8,Q11:Q31,R8,R11:R31)</f>
        <v>0</v>
      </c>
      <c r="R32" s="496"/>
      <c r="S32" s="249">
        <f>SUM(S8:S31)</f>
        <v>0</v>
      </c>
      <c r="T32" s="495">
        <f>SUM(T8,T11:T31,U8,U11:U31)</f>
        <v>0</v>
      </c>
      <c r="U32" s="496"/>
      <c r="V32" s="250">
        <f>SUM(V8:V31)</f>
        <v>0</v>
      </c>
      <c r="W32" s="245"/>
    </row>
    <row r="33" spans="2:23" ht="16.5" customHeight="1" thickBot="1">
      <c r="B33" s="535" t="s">
        <v>306</v>
      </c>
      <c r="C33" s="536"/>
      <c r="D33" s="537"/>
      <c r="E33" s="576"/>
      <c r="F33" s="577"/>
      <c r="G33" s="251">
        <f>ROUNDUP([1]!同時使用流量(G32,IF(AND(E8="",F8=""),2,1)),0)</f>
        <v>0</v>
      </c>
      <c r="H33" s="576"/>
      <c r="I33" s="577"/>
      <c r="J33" s="251">
        <f>ROUNDUP([1]!同時使用流量(J32,IF(AND(H8="",I8=""),2,1)),0)</f>
        <v>0</v>
      </c>
      <c r="K33" s="553"/>
      <c r="L33" s="554"/>
      <c r="M33" s="251">
        <f>ROUNDUP([1]!同時使用流量(M32,IF(AND(K8="",L8=""),2,1)),0)</f>
        <v>0</v>
      </c>
      <c r="N33" s="576"/>
      <c r="O33" s="577"/>
      <c r="P33" s="251">
        <f>ROUNDUP([1]!同時使用流量(P32,IF(AND(N8="",O8=""),2,1)),0)</f>
        <v>0</v>
      </c>
      <c r="Q33" s="553"/>
      <c r="R33" s="554"/>
      <c r="S33" s="251">
        <f>ROUNDUP([1]!同時使用流量(S32,IF(AND(Q8="",R8=""),2,1)),0)</f>
        <v>0</v>
      </c>
      <c r="T33" s="576"/>
      <c r="U33" s="577"/>
      <c r="V33" s="252">
        <f>ROUNDUP([1]!同時使用流量(V32,IF(AND(T8="",U8=""),2,1)),0)</f>
        <v>0</v>
      </c>
      <c r="W33" s="245"/>
    </row>
    <row r="34" spans="2:23" ht="12.75" customHeight="1" thickTop="1">
      <c r="B34" s="541" t="s">
        <v>307</v>
      </c>
      <c r="C34" s="542"/>
      <c r="D34" s="543"/>
      <c r="E34" s="548" t="s">
        <v>308</v>
      </c>
      <c r="F34" s="549"/>
      <c r="G34" s="550"/>
      <c r="H34" s="548" t="s">
        <v>308</v>
      </c>
      <c r="I34" s="549"/>
      <c r="J34" s="550"/>
      <c r="K34" s="548" t="s">
        <v>308</v>
      </c>
      <c r="L34" s="549"/>
      <c r="M34" s="550"/>
      <c r="N34" s="548" t="s">
        <v>308</v>
      </c>
      <c r="O34" s="549"/>
      <c r="P34" s="550"/>
      <c r="Q34" s="548" t="s">
        <v>308</v>
      </c>
      <c r="R34" s="549"/>
      <c r="S34" s="550"/>
      <c r="T34" s="548" t="s">
        <v>308</v>
      </c>
      <c r="U34" s="549"/>
      <c r="V34" s="555"/>
      <c r="W34" s="245"/>
    </row>
    <row r="35" spans="2:23" ht="12" customHeight="1">
      <c r="B35" s="515"/>
      <c r="C35" s="516"/>
      <c r="D35" s="517"/>
      <c r="E35" s="538" t="s">
        <v>309</v>
      </c>
      <c r="F35" s="513"/>
      <c r="G35" s="534" t="s">
        <v>310</v>
      </c>
      <c r="H35" s="538" t="s">
        <v>309</v>
      </c>
      <c r="I35" s="513"/>
      <c r="J35" s="534" t="s">
        <v>310</v>
      </c>
      <c r="K35" s="538" t="s">
        <v>309</v>
      </c>
      <c r="L35" s="513"/>
      <c r="M35" s="534" t="s">
        <v>310</v>
      </c>
      <c r="N35" s="538" t="s">
        <v>309</v>
      </c>
      <c r="O35" s="513"/>
      <c r="P35" s="534" t="s">
        <v>310</v>
      </c>
      <c r="Q35" s="538" t="s">
        <v>309</v>
      </c>
      <c r="R35" s="513"/>
      <c r="S35" s="534" t="s">
        <v>310</v>
      </c>
      <c r="T35" s="538" t="s">
        <v>309</v>
      </c>
      <c r="U35" s="513"/>
      <c r="V35" s="570" t="s">
        <v>310</v>
      </c>
      <c r="W35" s="245"/>
    </row>
    <row r="36" spans="2:23" ht="12" customHeight="1">
      <c r="B36" s="515"/>
      <c r="C36" s="516"/>
      <c r="D36" s="517"/>
      <c r="E36" s="539"/>
      <c r="F36" s="540"/>
      <c r="G36" s="492"/>
      <c r="H36" s="539"/>
      <c r="I36" s="540"/>
      <c r="J36" s="492"/>
      <c r="K36" s="539"/>
      <c r="L36" s="540"/>
      <c r="M36" s="492"/>
      <c r="N36" s="539"/>
      <c r="O36" s="540"/>
      <c r="P36" s="492"/>
      <c r="Q36" s="539"/>
      <c r="R36" s="540"/>
      <c r="S36" s="492"/>
      <c r="T36" s="539"/>
      <c r="U36" s="540"/>
      <c r="V36" s="571"/>
      <c r="W36" s="245"/>
    </row>
    <row r="37" spans="2:23" ht="18" customHeight="1" thickBot="1">
      <c r="B37" s="544"/>
      <c r="C37" s="545"/>
      <c r="D37" s="546"/>
      <c r="E37" s="530">
        <f>G32</f>
        <v>0</v>
      </c>
      <c r="F37" s="531"/>
      <c r="G37" s="253">
        <f>ROUNDUP([1]!同時使用流量(E37,IF(AND(E8="",F8=""),2,1)),0)</f>
        <v>0</v>
      </c>
      <c r="H37" s="530">
        <f>SUM(E37,J32)</f>
        <v>0</v>
      </c>
      <c r="I37" s="531"/>
      <c r="J37" s="253">
        <f>ROUNDUP([1]!同時使用流量(H37,IF(AND(E8="",F8="",H8="",I8=""),2,1)),0)</f>
        <v>0</v>
      </c>
      <c r="K37" s="530">
        <f>SUM(H37,M32)</f>
        <v>0</v>
      </c>
      <c r="L37" s="531"/>
      <c r="M37" s="253">
        <f>ROUNDUP([1]!同時使用流量(K37,IF(AND(E8="",F8="",H8="",I8="",K8="",L8=""),2,1)),0)</f>
        <v>0</v>
      </c>
      <c r="N37" s="530">
        <f>SUM(K37,P32)</f>
        <v>0</v>
      </c>
      <c r="O37" s="531"/>
      <c r="P37" s="253">
        <f>ROUNDUP([1]!同時使用流量(N37,IF(AND(E8="",F8="",H8="",I8="",K8="",L8="",N8="",O8=""),2,1)),0)</f>
        <v>0</v>
      </c>
      <c r="Q37" s="530">
        <f>SUM(N37,S32)</f>
        <v>0</v>
      </c>
      <c r="R37" s="531"/>
      <c r="S37" s="253">
        <f>ROUNDUP([1]!同時使用流量(Q37,IF(AND(E8="",F8="",H8="",I8="",K8="",L8="",N8="",O8="",Q8="",R8=""),2,1)),0)</f>
        <v>0</v>
      </c>
      <c r="T37" s="530">
        <f>SUM(Q37,V32)</f>
        <v>0</v>
      </c>
      <c r="U37" s="531"/>
      <c r="V37" s="254">
        <f>ROUNDUP([1]!同時使用流量(T37,IF(AND(E8="",F8="",H8="",I8="",K8="",L8="",N8="",O8="",Q8="",R8="",T8="",U8=""),2,1)),0)</f>
        <v>0</v>
      </c>
      <c r="W37" s="245"/>
    </row>
    <row r="38" spans="2:23" ht="15" customHeight="1" thickTop="1">
      <c r="B38" s="476" t="s">
        <v>325</v>
      </c>
      <c r="C38" s="500" t="s">
        <v>311</v>
      </c>
      <c r="D38" s="501"/>
      <c r="E38" s="468" t="s">
        <v>293</v>
      </c>
      <c r="F38" s="469"/>
      <c r="G38" s="491" t="s">
        <v>312</v>
      </c>
      <c r="H38" s="468" t="s">
        <v>293</v>
      </c>
      <c r="I38" s="469"/>
      <c r="J38" s="472" t="s">
        <v>312</v>
      </c>
      <c r="K38" s="468" t="s">
        <v>293</v>
      </c>
      <c r="L38" s="469"/>
      <c r="M38" s="472" t="s">
        <v>312</v>
      </c>
      <c r="N38" s="468" t="s">
        <v>293</v>
      </c>
      <c r="O38" s="469"/>
      <c r="P38" s="472" t="s">
        <v>312</v>
      </c>
      <c r="Q38" s="468" t="s">
        <v>293</v>
      </c>
      <c r="R38" s="469"/>
      <c r="S38" s="472" t="s">
        <v>312</v>
      </c>
      <c r="T38" s="468" t="s">
        <v>293</v>
      </c>
      <c r="U38" s="469"/>
      <c r="V38" s="574" t="s">
        <v>312</v>
      </c>
      <c r="W38" s="245"/>
    </row>
    <row r="39" spans="2:23" ht="15" customHeight="1">
      <c r="B39" s="477"/>
      <c r="C39" s="502"/>
      <c r="D39" s="503"/>
      <c r="E39" s="470"/>
      <c r="F39" s="471"/>
      <c r="G39" s="492"/>
      <c r="H39" s="470"/>
      <c r="I39" s="471"/>
      <c r="J39" s="473"/>
      <c r="K39" s="470"/>
      <c r="L39" s="471"/>
      <c r="M39" s="473"/>
      <c r="N39" s="470"/>
      <c r="O39" s="471"/>
      <c r="P39" s="473"/>
      <c r="Q39" s="470"/>
      <c r="R39" s="471"/>
      <c r="S39" s="473"/>
      <c r="T39" s="470"/>
      <c r="U39" s="471"/>
      <c r="V39" s="575"/>
      <c r="W39" s="245"/>
    </row>
    <row r="40" spans="2:23" ht="15.75" customHeight="1">
      <c r="B40" s="39"/>
      <c r="C40" s="474"/>
      <c r="D40" s="475"/>
      <c r="E40" s="474"/>
      <c r="F40" s="547"/>
      <c r="G40" s="247">
        <f>C40*E40</f>
        <v>0</v>
      </c>
      <c r="H40" s="474"/>
      <c r="I40" s="547"/>
      <c r="J40" s="247">
        <f>C40*H40</f>
        <v>0</v>
      </c>
      <c r="K40" s="474"/>
      <c r="L40" s="547"/>
      <c r="M40" s="247">
        <f>C40*K40</f>
        <v>0</v>
      </c>
      <c r="N40" s="474"/>
      <c r="O40" s="547"/>
      <c r="P40" s="247">
        <f>C40*N40</f>
        <v>0</v>
      </c>
      <c r="Q40" s="474"/>
      <c r="R40" s="547"/>
      <c r="S40" s="247">
        <f>C40*Q40</f>
        <v>0</v>
      </c>
      <c r="T40" s="474"/>
      <c r="U40" s="547"/>
      <c r="V40" s="248">
        <f>C40*T40</f>
        <v>0</v>
      </c>
      <c r="W40" s="245"/>
    </row>
    <row r="41" spans="2:23" ht="15.75" customHeight="1">
      <c r="B41" s="39"/>
      <c r="C41" s="162"/>
      <c r="D41" s="255"/>
      <c r="E41" s="162"/>
      <c r="F41" s="163"/>
      <c r="G41" s="247">
        <f>C41*E41</f>
        <v>0</v>
      </c>
      <c r="H41" s="162"/>
      <c r="I41" s="163"/>
      <c r="J41" s="247">
        <f>C41*H41</f>
        <v>0</v>
      </c>
      <c r="K41" s="162"/>
      <c r="L41" s="163"/>
      <c r="M41" s="247">
        <f>C41*K41</f>
        <v>0</v>
      </c>
      <c r="N41" s="162"/>
      <c r="O41" s="163"/>
      <c r="P41" s="247">
        <f>C41*N41</f>
        <v>0</v>
      </c>
      <c r="Q41" s="162"/>
      <c r="R41" s="163"/>
      <c r="S41" s="247">
        <f>C41*Q41</f>
        <v>0</v>
      </c>
      <c r="T41" s="162"/>
      <c r="U41" s="163"/>
      <c r="V41" s="248">
        <f>C41*T41</f>
        <v>0</v>
      </c>
      <c r="W41" s="245"/>
    </row>
    <row r="42" spans="2:23" ht="15.75" customHeight="1">
      <c r="B42" s="39"/>
      <c r="C42" s="474"/>
      <c r="D42" s="475"/>
      <c r="E42" s="474"/>
      <c r="F42" s="547"/>
      <c r="G42" s="247">
        <f>C42*E42</f>
        <v>0</v>
      </c>
      <c r="H42" s="474"/>
      <c r="I42" s="547"/>
      <c r="J42" s="247">
        <f>C42*H42</f>
        <v>0</v>
      </c>
      <c r="K42" s="474"/>
      <c r="L42" s="547"/>
      <c r="M42" s="247">
        <f>C42*K42</f>
        <v>0</v>
      </c>
      <c r="N42" s="474"/>
      <c r="O42" s="547"/>
      <c r="P42" s="247">
        <f>C42*N42</f>
        <v>0</v>
      </c>
      <c r="Q42" s="474"/>
      <c r="R42" s="547"/>
      <c r="S42" s="247">
        <f>C42*Q42</f>
        <v>0</v>
      </c>
      <c r="T42" s="572"/>
      <c r="U42" s="573"/>
      <c r="V42" s="248">
        <f>C42*T42</f>
        <v>0</v>
      </c>
      <c r="W42" s="245"/>
    </row>
    <row r="43" spans="2:23" ht="15.75" customHeight="1">
      <c r="B43" s="39"/>
      <c r="C43" s="474"/>
      <c r="D43" s="475"/>
      <c r="E43" s="474"/>
      <c r="F43" s="547"/>
      <c r="G43" s="247">
        <f>C43*E43</f>
        <v>0</v>
      </c>
      <c r="H43" s="474"/>
      <c r="I43" s="547"/>
      <c r="J43" s="247">
        <f>C43*H43</f>
        <v>0</v>
      </c>
      <c r="K43" s="474"/>
      <c r="L43" s="547"/>
      <c r="M43" s="247">
        <f>C43*K43</f>
        <v>0</v>
      </c>
      <c r="N43" s="474"/>
      <c r="O43" s="547"/>
      <c r="P43" s="247">
        <f>C43*N43</f>
        <v>0</v>
      </c>
      <c r="Q43" s="474"/>
      <c r="R43" s="547"/>
      <c r="S43" s="247">
        <f>C43*Q43</f>
        <v>0</v>
      </c>
      <c r="T43" s="474"/>
      <c r="U43" s="547"/>
      <c r="V43" s="248">
        <f>C43*T43</f>
        <v>0</v>
      </c>
      <c r="W43" s="245"/>
    </row>
    <row r="44" spans="2:23" ht="15.75" customHeight="1">
      <c r="B44" s="585" t="s">
        <v>305</v>
      </c>
      <c r="C44" s="586"/>
      <c r="D44" s="587"/>
      <c r="E44" s="568">
        <f>SUM(E40:F43)</f>
        <v>0</v>
      </c>
      <c r="F44" s="569"/>
      <c r="G44" s="256">
        <f>SUM(G40:G43)</f>
        <v>0</v>
      </c>
      <c r="H44" s="568">
        <f>SUM(H40:I43)</f>
        <v>0</v>
      </c>
      <c r="I44" s="569"/>
      <c r="J44" s="256">
        <f>SUM(J40:J43)</f>
        <v>0</v>
      </c>
      <c r="K44" s="568">
        <f>SUM(K40:L43)</f>
        <v>0</v>
      </c>
      <c r="L44" s="569"/>
      <c r="M44" s="256">
        <f>SUM(M40:M43)</f>
        <v>0</v>
      </c>
      <c r="N44" s="568">
        <f>SUM(N40:O43)</f>
        <v>0</v>
      </c>
      <c r="O44" s="569"/>
      <c r="P44" s="256">
        <f>SUM(P40:P43)</f>
        <v>0</v>
      </c>
      <c r="Q44" s="568">
        <f>SUM(Q40:R43)</f>
        <v>0</v>
      </c>
      <c r="R44" s="569"/>
      <c r="S44" s="256">
        <f>SUM(S40:S43)</f>
        <v>0</v>
      </c>
      <c r="T44" s="568">
        <f>SUM(T40:U43)</f>
        <v>0</v>
      </c>
      <c r="U44" s="569"/>
      <c r="V44" s="257">
        <f>SUM(V40:V43)</f>
        <v>0</v>
      </c>
      <c r="W44" s="245"/>
    </row>
    <row r="45" spans="2:23" ht="13.5" customHeight="1">
      <c r="B45" s="512" t="s">
        <v>313</v>
      </c>
      <c r="C45" s="513"/>
      <c r="D45" s="514"/>
      <c r="E45" s="478">
        <f>SUM(E32,E44)</f>
        <v>0</v>
      </c>
      <c r="F45" s="479"/>
      <c r="G45" s="258"/>
      <c r="H45" s="478">
        <f>SUM(H32,H44)</f>
        <v>0</v>
      </c>
      <c r="I45" s="479"/>
      <c r="J45" s="258"/>
      <c r="K45" s="478">
        <f>SUM(K32,K44)</f>
        <v>0</v>
      </c>
      <c r="L45" s="479"/>
      <c r="M45" s="258"/>
      <c r="N45" s="478">
        <f>SUM(N32,N44)</f>
        <v>0</v>
      </c>
      <c r="O45" s="479"/>
      <c r="P45" s="258"/>
      <c r="Q45" s="478">
        <f>SUM(Q32,Q44)</f>
        <v>0</v>
      </c>
      <c r="R45" s="479"/>
      <c r="S45" s="258"/>
      <c r="T45" s="478">
        <f>SUM(T32,T44)</f>
        <v>0</v>
      </c>
      <c r="U45" s="479"/>
      <c r="V45" s="46"/>
      <c r="W45" s="245"/>
    </row>
    <row r="46" spans="2:23" ht="13.5" customHeight="1">
      <c r="B46" s="518" t="s">
        <v>314</v>
      </c>
      <c r="C46" s="519"/>
      <c r="D46" s="520"/>
      <c r="E46" s="532">
        <f>E45-E9</f>
        <v>0</v>
      </c>
      <c r="F46" s="533"/>
      <c r="G46" s="259"/>
      <c r="H46" s="532">
        <f>H45-H9</f>
        <v>0</v>
      </c>
      <c r="I46" s="533"/>
      <c r="J46" s="259"/>
      <c r="K46" s="532">
        <f>K45-K9</f>
        <v>0</v>
      </c>
      <c r="L46" s="533"/>
      <c r="M46" s="259"/>
      <c r="N46" s="532">
        <f>N45-N9</f>
        <v>0</v>
      </c>
      <c r="O46" s="533"/>
      <c r="P46" s="259"/>
      <c r="Q46" s="532">
        <f>Q45-Q9</f>
        <v>0</v>
      </c>
      <c r="R46" s="533"/>
      <c r="S46" s="259"/>
      <c r="T46" s="532">
        <f>T45-T9</f>
        <v>0</v>
      </c>
      <c r="U46" s="533"/>
      <c r="V46" s="260"/>
      <c r="W46" s="245"/>
    </row>
    <row r="47" spans="2:23" ht="12.75" customHeight="1">
      <c r="B47" s="512" t="s">
        <v>315</v>
      </c>
      <c r="C47" s="513"/>
      <c r="D47" s="514"/>
      <c r="E47" s="482" t="s">
        <v>316</v>
      </c>
      <c r="F47" s="483"/>
      <c r="G47" s="480" t="s">
        <v>317</v>
      </c>
      <c r="H47" s="482" t="s">
        <v>316</v>
      </c>
      <c r="I47" s="483"/>
      <c r="J47" s="480" t="s">
        <v>317</v>
      </c>
      <c r="K47" s="482" t="s">
        <v>316</v>
      </c>
      <c r="L47" s="483"/>
      <c r="M47" s="480" t="s">
        <v>317</v>
      </c>
      <c r="N47" s="482" t="s">
        <v>316</v>
      </c>
      <c r="O47" s="483"/>
      <c r="P47" s="480" t="s">
        <v>317</v>
      </c>
      <c r="Q47" s="482" t="s">
        <v>316</v>
      </c>
      <c r="R47" s="483"/>
      <c r="S47" s="480" t="s">
        <v>317</v>
      </c>
      <c r="T47" s="482" t="s">
        <v>316</v>
      </c>
      <c r="U47" s="483"/>
      <c r="V47" s="558" t="s">
        <v>317</v>
      </c>
      <c r="W47" s="245"/>
    </row>
    <row r="48" spans="2:23" ht="12.75" customHeight="1">
      <c r="B48" s="515"/>
      <c r="C48" s="516"/>
      <c r="D48" s="517"/>
      <c r="E48" s="484"/>
      <c r="F48" s="485"/>
      <c r="G48" s="481"/>
      <c r="H48" s="484"/>
      <c r="I48" s="485"/>
      <c r="J48" s="481"/>
      <c r="K48" s="484"/>
      <c r="L48" s="485"/>
      <c r="M48" s="481"/>
      <c r="N48" s="484"/>
      <c r="O48" s="485"/>
      <c r="P48" s="481"/>
      <c r="Q48" s="484"/>
      <c r="R48" s="485"/>
      <c r="S48" s="481"/>
      <c r="T48" s="484"/>
      <c r="U48" s="485"/>
      <c r="V48" s="559"/>
      <c r="W48" s="245"/>
    </row>
    <row r="49" spans="2:25" ht="15.75" customHeight="1" thickBot="1">
      <c r="B49" s="515"/>
      <c r="C49" s="516"/>
      <c r="D49" s="517"/>
      <c r="E49" s="528">
        <f>IF(ISBLANK($B$40),"",VLOOKUP(E46,$Y$58:$Z$68,2))</f>
      </c>
      <c r="F49" s="529"/>
      <c r="G49" s="159">
        <f>IF(ISBLANK($B$40),"",ROUNDUP(E49*G44,0))</f>
      </c>
      <c r="H49" s="528">
        <f>IF(ISBLANK($B$40),"",VLOOKUP(H46,$Y$58:$Z$68,2))</f>
      </c>
      <c r="I49" s="529"/>
      <c r="J49" s="159">
        <f>IF(ISBLANK($B$40),"",ROUNDUP(H49*J44,0))</f>
      </c>
      <c r="K49" s="528">
        <f>IF(ISBLANK($B$40),"",VLOOKUP(K46,$Y$58:$Z$68,2))</f>
      </c>
      <c r="L49" s="529"/>
      <c r="M49" s="159">
        <f>IF(ISBLANK($B$40),"",ROUNDUP(K49*M44,0))</f>
      </c>
      <c r="N49" s="528">
        <f>IF(ISBLANK($B$40),"",VLOOKUP(N46,$Y$58:$Z$68,2))</f>
      </c>
      <c r="O49" s="529"/>
      <c r="P49" s="159">
        <f>IF(ISBLANK($B$40),"",ROUNDUP(N49*P44,0))</f>
      </c>
      <c r="Q49" s="528">
        <f>IF(ISBLANK($B$40),"",VLOOKUP(Q46,$Y$58:$Z$68,2))</f>
      </c>
      <c r="R49" s="529"/>
      <c r="S49" s="159">
        <f>IF(ISBLANK($B$40),"",ROUNDUP(Q49*S44,0))</f>
      </c>
      <c r="T49" s="528">
        <f>IF(ISBLANK($B$40),"",VLOOKUP(T46,$Y$58:$Z$68,2))</f>
      </c>
      <c r="U49" s="529"/>
      <c r="V49" s="160">
        <f>IF(ISBLANK($B$40),"",ROUNDUP(T49*V44,0))</f>
      </c>
      <c r="W49" s="245"/>
      <c r="X49" s="32"/>
      <c r="Y49" s="261"/>
    </row>
    <row r="50" spans="2:23" ht="15.75" customHeight="1" thickTop="1">
      <c r="B50" s="525" t="s">
        <v>318</v>
      </c>
      <c r="C50" s="526"/>
      <c r="D50" s="527"/>
      <c r="E50" s="523">
        <f>E44</f>
        <v>0</v>
      </c>
      <c r="F50" s="524"/>
      <c r="G50" s="262">
        <f>G44</f>
        <v>0</v>
      </c>
      <c r="H50" s="523">
        <f>SUM(E50,H44)</f>
        <v>0</v>
      </c>
      <c r="I50" s="524"/>
      <c r="J50" s="262">
        <f>SUM(G50,J44)</f>
        <v>0</v>
      </c>
      <c r="K50" s="523">
        <f>SUM(H50,K44)</f>
        <v>0</v>
      </c>
      <c r="L50" s="524"/>
      <c r="M50" s="262">
        <f>SUM(J50,M44)</f>
        <v>0</v>
      </c>
      <c r="N50" s="523">
        <f>SUM(K50,N44)</f>
        <v>0</v>
      </c>
      <c r="O50" s="524"/>
      <c r="P50" s="262">
        <f>SUM(M50,P44)</f>
        <v>0</v>
      </c>
      <c r="Q50" s="523">
        <f>SUM(N50,Q44)</f>
        <v>0</v>
      </c>
      <c r="R50" s="524"/>
      <c r="S50" s="262">
        <f>SUM(P50,S44)</f>
        <v>0</v>
      </c>
      <c r="T50" s="523">
        <f>SUM(Q50,T44)</f>
        <v>0</v>
      </c>
      <c r="U50" s="524"/>
      <c r="V50" s="263">
        <f>SUM(S50,V44)</f>
        <v>0</v>
      </c>
      <c r="W50" s="245"/>
    </row>
    <row r="51" spans="2:23" ht="13.5" customHeight="1">
      <c r="B51" s="580" t="s">
        <v>319</v>
      </c>
      <c r="C51" s="540"/>
      <c r="D51" s="581"/>
      <c r="E51" s="521">
        <f>SUM(E32,E44)</f>
        <v>0</v>
      </c>
      <c r="F51" s="522"/>
      <c r="G51" s="259"/>
      <c r="H51" s="521">
        <f>SUM(E51,H32,H44)</f>
        <v>0</v>
      </c>
      <c r="I51" s="522"/>
      <c r="J51" s="259"/>
      <c r="K51" s="521">
        <f>SUM(H51,K32,K44)</f>
        <v>0</v>
      </c>
      <c r="L51" s="522"/>
      <c r="M51" s="259"/>
      <c r="N51" s="521">
        <f>SUM(K51,N32,N44)</f>
        <v>0</v>
      </c>
      <c r="O51" s="522"/>
      <c r="P51" s="259"/>
      <c r="Q51" s="521">
        <f>SUM(N51,Q32,Q44)</f>
        <v>0</v>
      </c>
      <c r="R51" s="522"/>
      <c r="S51" s="259"/>
      <c r="T51" s="521">
        <f>SUM(Q51,T32,T44)</f>
        <v>0</v>
      </c>
      <c r="U51" s="522"/>
      <c r="V51" s="260"/>
      <c r="W51" s="245"/>
    </row>
    <row r="52" spans="2:23" ht="13.5" customHeight="1">
      <c r="B52" s="518" t="s">
        <v>320</v>
      </c>
      <c r="C52" s="519"/>
      <c r="D52" s="520"/>
      <c r="E52" s="551">
        <f>E51-E10</f>
        <v>0</v>
      </c>
      <c r="F52" s="552"/>
      <c r="G52" s="264"/>
      <c r="H52" s="551">
        <f>H51-H10</f>
        <v>0</v>
      </c>
      <c r="I52" s="552"/>
      <c r="J52" s="264"/>
      <c r="K52" s="551">
        <f>K51-K10</f>
        <v>0</v>
      </c>
      <c r="L52" s="552"/>
      <c r="M52" s="264"/>
      <c r="N52" s="551">
        <f>N51-N10</f>
        <v>0</v>
      </c>
      <c r="O52" s="552"/>
      <c r="P52" s="264"/>
      <c r="Q52" s="551">
        <f>Q51-Q10</f>
        <v>0</v>
      </c>
      <c r="R52" s="552"/>
      <c r="S52" s="264"/>
      <c r="T52" s="551">
        <f>T51-T10</f>
        <v>0</v>
      </c>
      <c r="U52" s="552"/>
      <c r="V52" s="49"/>
      <c r="W52" s="245"/>
    </row>
    <row r="53" spans="2:23" ht="12.75" customHeight="1">
      <c r="B53" s="33"/>
      <c r="C53" s="32"/>
      <c r="D53" s="34"/>
      <c r="E53" s="482" t="s">
        <v>316</v>
      </c>
      <c r="F53" s="556"/>
      <c r="G53" s="480" t="s">
        <v>317</v>
      </c>
      <c r="H53" s="482" t="s">
        <v>316</v>
      </c>
      <c r="I53" s="556"/>
      <c r="J53" s="480" t="s">
        <v>317</v>
      </c>
      <c r="K53" s="482" t="s">
        <v>316</v>
      </c>
      <c r="L53" s="556"/>
      <c r="M53" s="480" t="s">
        <v>317</v>
      </c>
      <c r="N53" s="482" t="s">
        <v>316</v>
      </c>
      <c r="O53" s="556"/>
      <c r="P53" s="480" t="s">
        <v>317</v>
      </c>
      <c r="Q53" s="482" t="s">
        <v>316</v>
      </c>
      <c r="R53" s="556"/>
      <c r="S53" s="480" t="s">
        <v>317</v>
      </c>
      <c r="T53" s="482" t="s">
        <v>316</v>
      </c>
      <c r="U53" s="556"/>
      <c r="V53" s="558" t="s">
        <v>317</v>
      </c>
      <c r="W53" s="245"/>
    </row>
    <row r="54" spans="2:23" ht="12.75" customHeight="1">
      <c r="B54" s="35"/>
      <c r="C54" s="36"/>
      <c r="D54" s="37"/>
      <c r="E54" s="484"/>
      <c r="F54" s="557"/>
      <c r="G54" s="481"/>
      <c r="H54" s="484"/>
      <c r="I54" s="557"/>
      <c r="J54" s="481"/>
      <c r="K54" s="484"/>
      <c r="L54" s="557"/>
      <c r="M54" s="481"/>
      <c r="N54" s="484"/>
      <c r="O54" s="557"/>
      <c r="P54" s="481"/>
      <c r="Q54" s="484"/>
      <c r="R54" s="557"/>
      <c r="S54" s="481"/>
      <c r="T54" s="484"/>
      <c r="U54" s="557"/>
      <c r="V54" s="559"/>
      <c r="W54" s="245"/>
    </row>
    <row r="55" spans="2:25" ht="15.75" customHeight="1" thickBot="1">
      <c r="B55" s="465" t="s">
        <v>321</v>
      </c>
      <c r="C55" s="466"/>
      <c r="D55" s="467"/>
      <c r="E55" s="578">
        <f>IF(ISBLANK($B$40),"",VLOOKUP(E52,$Y$58:$Z$68,2))</f>
      </c>
      <c r="F55" s="579"/>
      <c r="G55" s="265">
        <f>IF(ISBLANK($B$40),"",ROUNDUP(E55*G50,0))</f>
      </c>
      <c r="H55" s="578">
        <f>IF(ISBLANK($B$40),"",VLOOKUP(H52,$Y$58:$Z$68,2))</f>
      </c>
      <c r="I55" s="579"/>
      <c r="J55" s="265">
        <f>IF(ISBLANK($B$40),"",ROUNDUP(H55*J50,0))</f>
      </c>
      <c r="K55" s="578">
        <f>IF(ISBLANK($B$40),"",VLOOKUP(K52,$Y$58:$Z$68,2))</f>
      </c>
      <c r="L55" s="579"/>
      <c r="M55" s="265">
        <f>IF(ISBLANK($B$40),"",ROUNDUP(K55*M50,0))</f>
      </c>
      <c r="N55" s="578">
        <f>IF(ISBLANK($B$40),"",VLOOKUP(N52,$Y$58:$Z$68,2))</f>
      </c>
      <c r="O55" s="579"/>
      <c r="P55" s="265">
        <f>IF(ISBLANK($B$40),"",ROUNDUP(N55*P50,0))</f>
      </c>
      <c r="Q55" s="578">
        <f>IF(ISBLANK($B$40),"",VLOOKUP(Q52,$Y$58:$Z$68,2))</f>
      </c>
      <c r="R55" s="579"/>
      <c r="S55" s="265">
        <f>IF(ISBLANK($B$40),"",ROUNDUP(Q55*S50,0))</f>
      </c>
      <c r="T55" s="578">
        <f>IF(ISBLANK($B$40),"",VLOOKUP(T52,$Y$58:$Z$68,2))</f>
      </c>
      <c r="U55" s="579"/>
      <c r="V55" s="266">
        <f>IF(ISBLANK($B$40),"",ROUNDUP(T55*V50,0))</f>
      </c>
      <c r="W55" s="245"/>
      <c r="X55" s="32"/>
      <c r="Y55" s="261"/>
    </row>
    <row r="56" spans="2:18" ht="12" customHeight="1">
      <c r="B56" s="511" t="s">
        <v>322</v>
      </c>
      <c r="C56" s="511"/>
      <c r="D56" s="511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</row>
    <row r="57" spans="2:26" ht="12" customHeight="1">
      <c r="B57" s="50"/>
      <c r="C57" s="50"/>
      <c r="D57" s="50"/>
      <c r="E57" s="50"/>
      <c r="F57" s="50"/>
      <c r="G57" s="50"/>
      <c r="H57" s="50"/>
      <c r="I57" s="50"/>
      <c r="J57" s="50"/>
      <c r="Y57" s="38" t="s">
        <v>323</v>
      </c>
      <c r="Z57" s="38" t="s">
        <v>324</v>
      </c>
    </row>
    <row r="58" spans="25:26" ht="10.5">
      <c r="Y58" s="38">
        <v>1</v>
      </c>
      <c r="Z58" s="38">
        <v>1</v>
      </c>
    </row>
    <row r="59" spans="25:26" ht="10.5">
      <c r="Y59" s="38">
        <v>2.1</v>
      </c>
      <c r="Z59" s="38">
        <v>0.7</v>
      </c>
    </row>
    <row r="60" spans="25:26" ht="10.5">
      <c r="Y60" s="38">
        <v>4.1</v>
      </c>
      <c r="Z60" s="38">
        <v>0.55</v>
      </c>
    </row>
    <row r="61" spans="25:26" ht="10.5">
      <c r="Y61" s="38">
        <v>8.1</v>
      </c>
      <c r="Z61" s="38">
        <v>0.48</v>
      </c>
    </row>
    <row r="62" spans="25:26" ht="10.5">
      <c r="Y62" s="38">
        <v>12.1</v>
      </c>
      <c r="Z62" s="38">
        <v>0.45</v>
      </c>
    </row>
    <row r="63" spans="25:26" ht="10.5">
      <c r="Y63" s="38">
        <v>16.1</v>
      </c>
      <c r="Z63" s="38">
        <v>0.42</v>
      </c>
    </row>
    <row r="64" spans="25:26" ht="10.5">
      <c r="Y64" s="38">
        <v>24.1</v>
      </c>
      <c r="Z64" s="38">
        <v>0.4</v>
      </c>
    </row>
    <row r="65" spans="25:26" ht="10.5">
      <c r="Y65" s="38">
        <v>32.1</v>
      </c>
      <c r="Z65" s="38">
        <v>0.39</v>
      </c>
    </row>
    <row r="66" spans="25:26" ht="10.5">
      <c r="Y66" s="38">
        <v>40.1</v>
      </c>
      <c r="Z66" s="38">
        <v>0.38</v>
      </c>
    </row>
    <row r="67" spans="25:26" ht="10.5">
      <c r="Y67" s="38">
        <v>50.1</v>
      </c>
      <c r="Z67" s="38">
        <v>0.35</v>
      </c>
    </row>
    <row r="68" spans="25:26" ht="10.5">
      <c r="Y68" s="38">
        <v>70.1</v>
      </c>
      <c r="Z68" s="38">
        <v>0.33</v>
      </c>
    </row>
  </sheetData>
  <sheetProtection password="E916" sheet="1" objects="1" scenarios="1" selectLockedCells="1" selectUnlockedCells="1"/>
  <mergeCells count="204">
    <mergeCell ref="K3:L3"/>
    <mergeCell ref="N3:O3"/>
    <mergeCell ref="Q3:R3"/>
    <mergeCell ref="T3:U3"/>
    <mergeCell ref="V4:V7"/>
    <mergeCell ref="U5:U7"/>
    <mergeCell ref="N32:O32"/>
    <mergeCell ref="B44:D44"/>
    <mergeCell ref="C2:D4"/>
    <mergeCell ref="B2:B7"/>
    <mergeCell ref="E2:V2"/>
    <mergeCell ref="E3:F3"/>
    <mergeCell ref="H3:I3"/>
    <mergeCell ref="S4:S7"/>
    <mergeCell ref="B45:D45"/>
    <mergeCell ref="N45:O45"/>
    <mergeCell ref="B51:D51"/>
    <mergeCell ref="H44:I44"/>
    <mergeCell ref="H50:I50"/>
    <mergeCell ref="H51:I51"/>
    <mergeCell ref="E45:F45"/>
    <mergeCell ref="E47:F48"/>
    <mergeCell ref="G47:G48"/>
    <mergeCell ref="H47:I48"/>
    <mergeCell ref="E55:F55"/>
    <mergeCell ref="H55:I55"/>
    <mergeCell ref="K55:L55"/>
    <mergeCell ref="N55:O55"/>
    <mergeCell ref="Q55:R55"/>
    <mergeCell ref="T55:U55"/>
    <mergeCell ref="E33:F33"/>
    <mergeCell ref="H33:I33"/>
    <mergeCell ref="K33:L33"/>
    <mergeCell ref="K44:L44"/>
    <mergeCell ref="N44:O44"/>
    <mergeCell ref="E40:F40"/>
    <mergeCell ref="E42:F42"/>
    <mergeCell ref="E43:F43"/>
    <mergeCell ref="E44:F44"/>
    <mergeCell ref="T33:U33"/>
    <mergeCell ref="N40:O40"/>
    <mergeCell ref="N42:O42"/>
    <mergeCell ref="K43:L43"/>
    <mergeCell ref="T43:U43"/>
    <mergeCell ref="Q42:R42"/>
    <mergeCell ref="N43:O43"/>
    <mergeCell ref="N33:O33"/>
    <mergeCell ref="T44:U44"/>
    <mergeCell ref="T51:U51"/>
    <mergeCell ref="V35:V36"/>
    <mergeCell ref="T40:U40"/>
    <mergeCell ref="T42:U42"/>
    <mergeCell ref="T37:U37"/>
    <mergeCell ref="T50:U50"/>
    <mergeCell ref="T35:U36"/>
    <mergeCell ref="T38:U39"/>
    <mergeCell ref="V38:V39"/>
    <mergeCell ref="V47:V48"/>
    <mergeCell ref="E34:G34"/>
    <mergeCell ref="H34:J34"/>
    <mergeCell ref="K32:L32"/>
    <mergeCell ref="K37:L37"/>
    <mergeCell ref="E35:F36"/>
    <mergeCell ref="H5:H7"/>
    <mergeCell ref="P4:P7"/>
    <mergeCell ref="N5:N7"/>
    <mergeCell ref="T5:T7"/>
    <mergeCell ref="Q5:Q7"/>
    <mergeCell ref="R5:R7"/>
    <mergeCell ref="L5:L7"/>
    <mergeCell ref="T4:U4"/>
    <mergeCell ref="Q4:R4"/>
    <mergeCell ref="O5:O7"/>
    <mergeCell ref="K5:K7"/>
    <mergeCell ref="Q40:R40"/>
    <mergeCell ref="S53:S54"/>
    <mergeCell ref="Q51:R51"/>
    <mergeCell ref="Q45:R45"/>
    <mergeCell ref="S47:S48"/>
    <mergeCell ref="Q43:R43"/>
    <mergeCell ref="Q44:R44"/>
    <mergeCell ref="K40:L40"/>
    <mergeCell ref="K42:L42"/>
    <mergeCell ref="E50:F50"/>
    <mergeCell ref="E4:F4"/>
    <mergeCell ref="N4:O4"/>
    <mergeCell ref="H4:I4"/>
    <mergeCell ref="G4:G7"/>
    <mergeCell ref="J4:J7"/>
    <mergeCell ref="M4:M7"/>
    <mergeCell ref="F5:F7"/>
    <mergeCell ref="K4:L4"/>
    <mergeCell ref="I5:I7"/>
    <mergeCell ref="N53:O54"/>
    <mergeCell ref="N34:P34"/>
    <mergeCell ref="K34:M34"/>
    <mergeCell ref="J35:J36"/>
    <mergeCell ref="M35:M36"/>
    <mergeCell ref="N47:O48"/>
    <mergeCell ref="N37:O37"/>
    <mergeCell ref="T53:U54"/>
    <mergeCell ref="V53:V54"/>
    <mergeCell ref="E53:F54"/>
    <mergeCell ref="G53:G54"/>
    <mergeCell ref="J53:J54"/>
    <mergeCell ref="M53:M54"/>
    <mergeCell ref="P53:P54"/>
    <mergeCell ref="H53:I54"/>
    <mergeCell ref="K53:L54"/>
    <mergeCell ref="Q53:R54"/>
    <mergeCell ref="E52:F52"/>
    <mergeCell ref="K52:L52"/>
    <mergeCell ref="N52:O52"/>
    <mergeCell ref="Q52:R52"/>
    <mergeCell ref="H52:I52"/>
    <mergeCell ref="T52:U52"/>
    <mergeCell ref="E51:F51"/>
    <mergeCell ref="T32:U32"/>
    <mergeCell ref="K35:L36"/>
    <mergeCell ref="N35:O36"/>
    <mergeCell ref="P35:P36"/>
    <mergeCell ref="Q35:R36"/>
    <mergeCell ref="Q33:R33"/>
    <mergeCell ref="T34:V34"/>
    <mergeCell ref="S35:S36"/>
    <mergeCell ref="Q32:R32"/>
    <mergeCell ref="Q34:S34"/>
    <mergeCell ref="T9:U9"/>
    <mergeCell ref="N10:O10"/>
    <mergeCell ref="N9:O9"/>
    <mergeCell ref="Q9:R9"/>
    <mergeCell ref="Q10:R10"/>
    <mergeCell ref="T10:U10"/>
    <mergeCell ref="H45:I45"/>
    <mergeCell ref="G35:G36"/>
    <mergeCell ref="B33:D33"/>
    <mergeCell ref="H35:I36"/>
    <mergeCell ref="B34:D37"/>
    <mergeCell ref="H37:I37"/>
    <mergeCell ref="E37:F37"/>
    <mergeCell ref="H43:I43"/>
    <mergeCell ref="H40:I40"/>
    <mergeCell ref="H42:I42"/>
    <mergeCell ref="E46:F46"/>
    <mergeCell ref="H46:I46"/>
    <mergeCell ref="K46:L46"/>
    <mergeCell ref="N46:O46"/>
    <mergeCell ref="Q37:R37"/>
    <mergeCell ref="T45:U45"/>
    <mergeCell ref="Q46:R46"/>
    <mergeCell ref="T46:U46"/>
    <mergeCell ref="S38:S39"/>
    <mergeCell ref="E49:F49"/>
    <mergeCell ref="H49:I49"/>
    <mergeCell ref="K49:L49"/>
    <mergeCell ref="N49:O49"/>
    <mergeCell ref="Q49:R49"/>
    <mergeCell ref="T49:U49"/>
    <mergeCell ref="P47:P48"/>
    <mergeCell ref="Q47:R48"/>
    <mergeCell ref="T47:U48"/>
    <mergeCell ref="B56:R56"/>
    <mergeCell ref="B47:D49"/>
    <mergeCell ref="B46:D46"/>
    <mergeCell ref="B52:D52"/>
    <mergeCell ref="K51:L51"/>
    <mergeCell ref="N51:O51"/>
    <mergeCell ref="K50:L50"/>
    <mergeCell ref="N50:O50"/>
    <mergeCell ref="Q50:R50"/>
    <mergeCell ref="B50:D50"/>
    <mergeCell ref="C5:C7"/>
    <mergeCell ref="D5:D7"/>
    <mergeCell ref="C40:D40"/>
    <mergeCell ref="C42:D42"/>
    <mergeCell ref="C38:D39"/>
    <mergeCell ref="B32:D32"/>
    <mergeCell ref="B9:C9"/>
    <mergeCell ref="B10:C10"/>
    <mergeCell ref="K10:L10"/>
    <mergeCell ref="E9:F9"/>
    <mergeCell ref="H32:I32"/>
    <mergeCell ref="E32:F32"/>
    <mergeCell ref="H10:I10"/>
    <mergeCell ref="E5:E7"/>
    <mergeCell ref="E10:F10"/>
    <mergeCell ref="K38:L39"/>
    <mergeCell ref="M38:M39"/>
    <mergeCell ref="H38:I39"/>
    <mergeCell ref="J38:J39"/>
    <mergeCell ref="E38:F39"/>
    <mergeCell ref="G38:G39"/>
    <mergeCell ref="H9:I9"/>
    <mergeCell ref="K9:L9"/>
    <mergeCell ref="B55:D55"/>
    <mergeCell ref="N38:O39"/>
    <mergeCell ref="P38:P39"/>
    <mergeCell ref="Q38:R39"/>
    <mergeCell ref="C43:D43"/>
    <mergeCell ref="B38:B39"/>
    <mergeCell ref="K45:L45"/>
    <mergeCell ref="J47:J48"/>
    <mergeCell ref="K47:L48"/>
    <mergeCell ref="M47:M48"/>
  </mergeCells>
  <printOptions/>
  <pageMargins left="0.5905511811023623" right="0.1968503937007874" top="0.7874015748031497" bottom="0.3937007874015748" header="0.3937007874015748" footer="0.1968503937007874"/>
  <pageSetup orientation="portrait" paperSize="9" r:id="rId3"/>
  <headerFooter alignWithMargins="0">
    <oddHeader>&amp;L&amp;"MS UI Gothic,標準"&amp;12&amp;U給 排 水 衛 生 設 備&amp;"ＭＳ Ｐゴシック,標準"&amp;11&amp;U
    &amp;"MS UI Gothic,標準"器具給水負荷単位（高置タンク方式の場合）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Z53"/>
  <sheetViews>
    <sheetView showGridLines="0" showRowColHeaders="0" showZeros="0" zoomScale="110" zoomScaleNormal="110" workbookViewId="0" topLeftCell="A1">
      <selection activeCell="Q18" sqref="Q18:R19"/>
    </sheetView>
  </sheetViews>
  <sheetFormatPr defaultColWidth="9.00390625" defaultRowHeight="13.5"/>
  <cols>
    <col min="1" max="1" width="1.625" style="16" customWidth="1"/>
    <col min="2" max="19" width="3.625" style="16" customWidth="1"/>
    <col min="20" max="20" width="3.625" style="29" customWidth="1"/>
    <col min="21" max="41" width="3.625" style="16" customWidth="1"/>
    <col min="42" max="16384" width="9.00390625" style="16" customWidth="1"/>
  </cols>
  <sheetData>
    <row r="1" ht="9.75" customHeight="1" thickBot="1"/>
    <row r="2" spans="2:26" ht="24.75" customHeight="1">
      <c r="B2" s="396" t="s">
        <v>326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2:26" ht="15" customHeight="1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153"/>
    </row>
    <row r="4" spans="2:26" ht="15" customHeight="1">
      <c r="B4" s="267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153"/>
    </row>
    <row r="5" spans="2:26" ht="15" customHeight="1">
      <c r="B5" s="26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70"/>
    </row>
    <row r="6" spans="2:26" ht="15" customHeight="1" thickBot="1">
      <c r="B6" s="26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 t="s">
        <v>327</v>
      </c>
      <c r="O6" s="618" t="s">
        <v>227</v>
      </c>
      <c r="P6" s="603"/>
      <c r="Q6" s="603"/>
      <c r="R6" s="619"/>
      <c r="S6" s="239"/>
      <c r="T6" s="272"/>
      <c r="U6" s="272"/>
      <c r="V6" s="272"/>
      <c r="W6" s="272"/>
      <c r="X6" s="272"/>
      <c r="Y6" s="272"/>
      <c r="Z6" s="270"/>
    </row>
    <row r="7" spans="2:26" ht="15" customHeight="1">
      <c r="B7" s="269"/>
      <c r="C7" s="239"/>
      <c r="D7" s="146"/>
      <c r="E7" s="146"/>
      <c r="F7" s="146"/>
      <c r="G7" s="146"/>
      <c r="H7" s="144"/>
      <c r="I7" s="239"/>
      <c r="J7" s="239"/>
      <c r="K7" s="239"/>
      <c r="L7" s="273"/>
      <c r="M7" s="274"/>
      <c r="N7" s="274"/>
      <c r="O7" s="470"/>
      <c r="P7" s="604"/>
      <c r="Q7" s="604"/>
      <c r="R7" s="620"/>
      <c r="S7" s="239"/>
      <c r="T7" s="239"/>
      <c r="U7" s="239"/>
      <c r="V7" s="239"/>
      <c r="W7" s="239"/>
      <c r="X7" s="239"/>
      <c r="Y7" s="239"/>
      <c r="Z7" s="270"/>
    </row>
    <row r="8" spans="2:26" ht="15" customHeight="1">
      <c r="B8" s="269"/>
      <c r="C8" s="239"/>
      <c r="D8" s="239"/>
      <c r="E8" s="239"/>
      <c r="F8" s="239"/>
      <c r="G8" s="239"/>
      <c r="H8" s="239"/>
      <c r="I8" s="239"/>
      <c r="J8" s="239"/>
      <c r="K8" s="239"/>
      <c r="L8" s="26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70"/>
    </row>
    <row r="9" spans="2:26" ht="15" customHeight="1">
      <c r="B9" s="269"/>
      <c r="C9" s="239"/>
      <c r="D9" s="609">
        <f>'給水負荷単位'!T37</f>
        <v>0</v>
      </c>
      <c r="E9" s="610"/>
      <c r="F9" s="603" t="s">
        <v>152</v>
      </c>
      <c r="G9" s="613">
        <f>'給水負荷単位'!V37</f>
        <v>0</v>
      </c>
      <c r="H9" s="614"/>
      <c r="I9" s="239"/>
      <c r="J9" s="239"/>
      <c r="K9" s="239"/>
      <c r="L9" s="269"/>
      <c r="M9" s="239"/>
      <c r="N9" s="239"/>
      <c r="O9" s="239"/>
      <c r="P9" s="239"/>
      <c r="Q9" s="239"/>
      <c r="R9" s="239"/>
      <c r="S9" s="239"/>
      <c r="T9" s="276"/>
      <c r="U9" s="277"/>
      <c r="V9" s="277"/>
      <c r="W9" s="278" t="s">
        <v>328</v>
      </c>
      <c r="X9" s="277"/>
      <c r="Y9" s="279"/>
      <c r="Z9" s="280"/>
    </row>
    <row r="10" spans="2:26" ht="15" customHeight="1">
      <c r="B10" s="269"/>
      <c r="C10" s="239"/>
      <c r="D10" s="611"/>
      <c r="E10" s="612"/>
      <c r="F10" s="604"/>
      <c r="G10" s="615"/>
      <c r="H10" s="616"/>
      <c r="I10" s="239"/>
      <c r="J10" s="239"/>
      <c r="K10" s="239"/>
      <c r="L10" s="269"/>
      <c r="M10" s="239"/>
      <c r="N10" s="239"/>
      <c r="O10" s="239"/>
      <c r="P10" s="239"/>
      <c r="Q10" s="239"/>
      <c r="R10" s="239"/>
      <c r="S10" s="239"/>
      <c r="T10" s="276"/>
      <c r="U10" s="279"/>
      <c r="V10" s="279"/>
      <c r="W10" s="281"/>
      <c r="X10" s="279"/>
      <c r="Y10" s="279"/>
      <c r="Z10" s="282"/>
    </row>
    <row r="11" spans="2:26" ht="15" customHeight="1">
      <c r="B11" s="269"/>
      <c r="C11" s="239"/>
      <c r="D11" s="239"/>
      <c r="E11" s="239"/>
      <c r="F11" s="239"/>
      <c r="G11" s="239"/>
      <c r="H11" s="239"/>
      <c r="I11" s="239"/>
      <c r="J11" s="239"/>
      <c r="K11" s="239"/>
      <c r="L11" s="269"/>
      <c r="M11" s="239"/>
      <c r="N11" s="239"/>
      <c r="O11" s="239" t="str">
        <f>'給水負荷単位'!T3</f>
        <v>P1</v>
      </c>
      <c r="P11" s="239" t="s">
        <v>329</v>
      </c>
      <c r="Q11" s="239"/>
      <c r="R11" s="239"/>
      <c r="S11" s="239"/>
      <c r="T11" s="276"/>
      <c r="U11" s="279"/>
      <c r="V11" s="279"/>
      <c r="W11" s="279"/>
      <c r="X11" s="279"/>
      <c r="Y11" s="279"/>
      <c r="Z11" s="282"/>
    </row>
    <row r="12" spans="2:26" ht="15" customHeight="1" thickBot="1">
      <c r="B12" s="269"/>
      <c r="C12" s="239"/>
      <c r="D12" s="239"/>
      <c r="E12" s="239"/>
      <c r="F12" s="239"/>
      <c r="G12" s="239"/>
      <c r="H12" s="239"/>
      <c r="I12" s="239"/>
      <c r="J12" s="239"/>
      <c r="K12" s="600" t="s">
        <v>330</v>
      </c>
      <c r="L12" s="283"/>
      <c r="M12" s="284" t="s">
        <v>331</v>
      </c>
      <c r="N12" s="618">
        <f>'給水負荷単位'!V32</f>
        <v>0</v>
      </c>
      <c r="O12" s="603"/>
      <c r="P12" s="603" t="s">
        <v>332</v>
      </c>
      <c r="Q12" s="605">
        <f>'給水負荷単位'!V33</f>
        <v>0</v>
      </c>
      <c r="R12" s="606"/>
      <c r="S12" s="239"/>
      <c r="T12" s="276"/>
      <c r="U12" s="279"/>
      <c r="V12" s="279"/>
      <c r="W12" s="286"/>
      <c r="X12" s="279"/>
      <c r="Y12" s="287" t="s">
        <v>333</v>
      </c>
      <c r="Z12" s="282"/>
    </row>
    <row r="13" spans="2:26" ht="15" customHeight="1">
      <c r="B13" s="269"/>
      <c r="C13" s="239"/>
      <c r="D13" s="146"/>
      <c r="E13" s="146"/>
      <c r="F13" s="146"/>
      <c r="G13" s="146"/>
      <c r="H13" s="144"/>
      <c r="I13" s="239"/>
      <c r="J13" s="239"/>
      <c r="K13" s="600"/>
      <c r="L13" s="269"/>
      <c r="M13" s="239"/>
      <c r="N13" s="470"/>
      <c r="O13" s="604"/>
      <c r="P13" s="604"/>
      <c r="Q13" s="607"/>
      <c r="R13" s="608"/>
      <c r="S13" s="239"/>
      <c r="T13" s="276"/>
      <c r="U13" s="279"/>
      <c r="V13" s="279"/>
      <c r="W13" s="279"/>
      <c r="X13" s="279"/>
      <c r="Y13" s="281"/>
      <c r="Z13" s="282"/>
    </row>
    <row r="14" spans="2:26" ht="15" customHeight="1">
      <c r="B14" s="269"/>
      <c r="C14" s="239"/>
      <c r="D14" s="239"/>
      <c r="E14" s="239"/>
      <c r="F14" s="239"/>
      <c r="G14" s="239"/>
      <c r="H14" s="239"/>
      <c r="I14" s="239"/>
      <c r="J14" s="239"/>
      <c r="K14" s="239"/>
      <c r="L14" s="269"/>
      <c r="M14" s="239"/>
      <c r="N14" s="239"/>
      <c r="O14" s="239"/>
      <c r="P14" s="239"/>
      <c r="Q14" s="239"/>
      <c r="R14" s="239"/>
      <c r="S14" s="239"/>
      <c r="T14" s="276"/>
      <c r="U14" s="279"/>
      <c r="V14" s="617" t="s">
        <v>334</v>
      </c>
      <c r="W14" s="617"/>
      <c r="X14" s="617"/>
      <c r="Y14" s="279"/>
      <c r="Z14" s="282"/>
    </row>
    <row r="15" spans="2:26" ht="15" customHeight="1">
      <c r="B15" s="269"/>
      <c r="C15" s="239"/>
      <c r="D15" s="609">
        <f>'給水負荷単位'!Q37</f>
        <v>0</v>
      </c>
      <c r="E15" s="610"/>
      <c r="F15" s="603" t="s">
        <v>335</v>
      </c>
      <c r="G15" s="613">
        <f>'給水負荷単位'!S37</f>
        <v>0</v>
      </c>
      <c r="H15" s="614"/>
      <c r="I15" s="239"/>
      <c r="J15" s="239"/>
      <c r="K15" s="239"/>
      <c r="L15" s="269"/>
      <c r="M15" s="239"/>
      <c r="N15" s="239"/>
      <c r="O15" s="239"/>
      <c r="P15" s="239"/>
      <c r="Q15" s="239"/>
      <c r="R15" s="239"/>
      <c r="S15" s="239"/>
      <c r="T15" s="239"/>
      <c r="U15" s="239"/>
      <c r="V15" s="601"/>
      <c r="W15" s="601"/>
      <c r="X15" s="601"/>
      <c r="Y15" s="239"/>
      <c r="Z15" s="270"/>
    </row>
    <row r="16" spans="2:26" ht="15" customHeight="1">
      <c r="B16" s="269"/>
      <c r="C16" s="239"/>
      <c r="D16" s="611"/>
      <c r="E16" s="612"/>
      <c r="F16" s="604"/>
      <c r="G16" s="615"/>
      <c r="H16" s="616"/>
      <c r="I16" s="239"/>
      <c r="J16" s="239"/>
      <c r="K16" s="239"/>
      <c r="L16" s="269"/>
      <c r="M16" s="239"/>
      <c r="N16" s="239"/>
      <c r="O16" s="239"/>
      <c r="P16" s="239"/>
      <c r="Q16" s="239"/>
      <c r="R16" s="239"/>
      <c r="S16" s="239"/>
      <c r="T16" s="239"/>
      <c r="U16" s="245"/>
      <c r="V16" s="279"/>
      <c r="W16" s="279"/>
      <c r="X16" s="279"/>
      <c r="Y16" s="276"/>
      <c r="Z16" s="289"/>
    </row>
    <row r="17" spans="2:26" ht="15" customHeight="1">
      <c r="B17" s="269"/>
      <c r="C17" s="239"/>
      <c r="D17" s="239"/>
      <c r="E17" s="239"/>
      <c r="F17" s="239"/>
      <c r="G17" s="239"/>
      <c r="H17" s="239"/>
      <c r="I17" s="239"/>
      <c r="J17" s="239"/>
      <c r="K17" s="239"/>
      <c r="L17" s="269"/>
      <c r="M17" s="239"/>
      <c r="N17" s="239"/>
      <c r="O17" s="239">
        <f>'給水負荷単位'!Q3</f>
        <v>5</v>
      </c>
      <c r="P17" s="239" t="s">
        <v>329</v>
      </c>
      <c r="Q17" s="239"/>
      <c r="R17" s="239"/>
      <c r="S17" s="239"/>
      <c r="T17" s="239"/>
      <c r="U17" s="245"/>
      <c r="V17" s="279"/>
      <c r="W17" s="279"/>
      <c r="X17" s="279"/>
      <c r="Y17" s="276"/>
      <c r="Z17" s="289"/>
    </row>
    <row r="18" spans="2:26" ht="15" customHeight="1" thickBot="1">
      <c r="B18" s="269"/>
      <c r="C18" s="239"/>
      <c r="D18" s="239"/>
      <c r="E18" s="239"/>
      <c r="F18" s="239"/>
      <c r="G18" s="239"/>
      <c r="H18" s="239"/>
      <c r="I18" s="239"/>
      <c r="J18" s="239"/>
      <c r="K18" s="600" t="s">
        <v>336</v>
      </c>
      <c r="L18" s="283"/>
      <c r="M18" s="290" t="s">
        <v>337</v>
      </c>
      <c r="N18" s="609">
        <f>'給水負荷単位'!S32</f>
        <v>0</v>
      </c>
      <c r="O18" s="610"/>
      <c r="P18" s="603" t="s">
        <v>332</v>
      </c>
      <c r="Q18" s="605">
        <f>'給水負荷単位'!S33</f>
        <v>0</v>
      </c>
      <c r="R18" s="606"/>
      <c r="S18" s="239"/>
      <c r="T18" s="239"/>
      <c r="U18" s="245"/>
      <c r="V18" s="279"/>
      <c r="W18" s="286"/>
      <c r="X18" s="286"/>
      <c r="Y18" s="291"/>
      <c r="Z18" s="289"/>
    </row>
    <row r="19" spans="2:26" ht="15" customHeight="1">
      <c r="B19" s="269"/>
      <c r="C19" s="239"/>
      <c r="D19" s="146"/>
      <c r="E19" s="146"/>
      <c r="F19" s="146"/>
      <c r="G19" s="146"/>
      <c r="H19" s="144"/>
      <c r="I19" s="239"/>
      <c r="J19" s="239"/>
      <c r="K19" s="600"/>
      <c r="L19" s="269"/>
      <c r="M19" s="239"/>
      <c r="N19" s="611"/>
      <c r="O19" s="612"/>
      <c r="P19" s="604"/>
      <c r="Q19" s="607"/>
      <c r="R19" s="608"/>
      <c r="S19" s="239"/>
      <c r="T19" s="239"/>
      <c r="U19" s="245"/>
      <c r="V19" s="279"/>
      <c r="W19" s="279"/>
      <c r="X19" s="279"/>
      <c r="Y19" s="276"/>
      <c r="Z19" s="289"/>
    </row>
    <row r="20" spans="2:26" ht="15" customHeight="1">
      <c r="B20" s="269"/>
      <c r="C20" s="239"/>
      <c r="D20" s="239"/>
      <c r="E20" s="239"/>
      <c r="F20" s="239"/>
      <c r="G20" s="239"/>
      <c r="H20" s="239"/>
      <c r="I20" s="239"/>
      <c r="J20" s="239"/>
      <c r="K20" s="239"/>
      <c r="L20" s="269"/>
      <c r="M20" s="239"/>
      <c r="N20" s="239"/>
      <c r="O20" s="239"/>
      <c r="P20" s="239"/>
      <c r="Q20" s="239"/>
      <c r="R20" s="239"/>
      <c r="S20" s="239"/>
      <c r="T20" s="239"/>
      <c r="U20" s="245"/>
      <c r="V20" s="617" t="s">
        <v>338</v>
      </c>
      <c r="W20" s="617"/>
      <c r="X20" s="617"/>
      <c r="Y20" s="276"/>
      <c r="Z20" s="289"/>
    </row>
    <row r="21" spans="2:26" ht="15" customHeight="1">
      <c r="B21" s="269"/>
      <c r="C21" s="239"/>
      <c r="D21" s="609">
        <f>'給水負荷単位'!N37</f>
        <v>0</v>
      </c>
      <c r="E21" s="610"/>
      <c r="F21" s="603" t="s">
        <v>335</v>
      </c>
      <c r="G21" s="613">
        <f>'給水負荷単位'!P37</f>
        <v>0</v>
      </c>
      <c r="H21" s="614"/>
      <c r="I21" s="239"/>
      <c r="J21" s="239"/>
      <c r="K21" s="239"/>
      <c r="L21" s="269"/>
      <c r="M21" s="239"/>
      <c r="N21" s="239"/>
      <c r="O21" s="239"/>
      <c r="P21" s="239"/>
      <c r="Q21" s="239"/>
      <c r="R21" s="239"/>
      <c r="S21" s="239"/>
      <c r="T21" s="239"/>
      <c r="U21" s="245"/>
      <c r="V21" s="602"/>
      <c r="W21" s="602"/>
      <c r="X21" s="602"/>
      <c r="Y21" s="239"/>
      <c r="Z21" s="179"/>
    </row>
    <row r="22" spans="2:26" ht="15" customHeight="1">
      <c r="B22" s="292"/>
      <c r="C22" s="245"/>
      <c r="D22" s="611"/>
      <c r="E22" s="612"/>
      <c r="F22" s="604"/>
      <c r="G22" s="615"/>
      <c r="H22" s="616"/>
      <c r="I22" s="245"/>
      <c r="J22" s="245"/>
      <c r="K22" s="245"/>
      <c r="L22" s="292"/>
      <c r="M22" s="245"/>
      <c r="N22" s="245"/>
      <c r="O22" s="245"/>
      <c r="P22" s="245"/>
      <c r="Q22" s="245"/>
      <c r="R22" s="245"/>
      <c r="S22" s="245"/>
      <c r="T22" s="239"/>
      <c r="U22" s="239"/>
      <c r="V22" s="239"/>
      <c r="W22" s="239"/>
      <c r="X22" s="239"/>
      <c r="Y22" s="239"/>
      <c r="Z22" s="270"/>
    </row>
    <row r="23" spans="2:26" ht="15" customHeight="1">
      <c r="B23" s="292"/>
      <c r="C23" s="245"/>
      <c r="D23" s="245"/>
      <c r="E23" s="245"/>
      <c r="F23" s="245"/>
      <c r="G23" s="245"/>
      <c r="H23" s="245"/>
      <c r="I23" s="245"/>
      <c r="J23" s="245"/>
      <c r="K23" s="245"/>
      <c r="L23" s="292"/>
      <c r="M23" s="245"/>
      <c r="N23" s="245"/>
      <c r="O23" s="239">
        <f>'給水負荷単位'!N3</f>
        <v>4</v>
      </c>
      <c r="P23" s="239" t="s">
        <v>329</v>
      </c>
      <c r="Q23" s="245"/>
      <c r="R23" s="245"/>
      <c r="S23" s="245"/>
      <c r="T23" s="239"/>
      <c r="U23" s="239"/>
      <c r="V23" s="239"/>
      <c r="W23" s="239"/>
      <c r="X23" s="239"/>
      <c r="Y23" s="239"/>
      <c r="Z23" s="270"/>
    </row>
    <row r="24" spans="2:26" ht="15" customHeight="1" thickBot="1">
      <c r="B24" s="292"/>
      <c r="C24" s="245"/>
      <c r="D24" s="245"/>
      <c r="E24" s="245"/>
      <c r="F24" s="245"/>
      <c r="G24" s="245"/>
      <c r="H24" s="245"/>
      <c r="I24" s="245"/>
      <c r="J24" s="245"/>
      <c r="K24" s="600" t="s">
        <v>339</v>
      </c>
      <c r="L24" s="293"/>
      <c r="M24" s="290" t="s">
        <v>340</v>
      </c>
      <c r="N24" s="609">
        <f>'給水負荷単位'!P32</f>
        <v>0</v>
      </c>
      <c r="O24" s="610"/>
      <c r="P24" s="603" t="s">
        <v>332</v>
      </c>
      <c r="Q24" s="605">
        <f>'給水負荷単位'!P33</f>
        <v>0</v>
      </c>
      <c r="R24" s="606"/>
      <c r="S24" s="245"/>
      <c r="T24" s="239"/>
      <c r="U24" s="239"/>
      <c r="V24" s="239"/>
      <c r="W24" s="239"/>
      <c r="X24" s="239"/>
      <c r="Y24" s="239"/>
      <c r="Z24" s="270"/>
    </row>
    <row r="25" spans="2:26" ht="15" customHeight="1">
      <c r="B25" s="292"/>
      <c r="C25" s="245"/>
      <c r="D25" s="146"/>
      <c r="E25" s="146"/>
      <c r="F25" s="146"/>
      <c r="G25" s="146"/>
      <c r="H25" s="144"/>
      <c r="I25" s="245"/>
      <c r="J25" s="245"/>
      <c r="K25" s="600"/>
      <c r="L25" s="292"/>
      <c r="M25" s="245"/>
      <c r="N25" s="611"/>
      <c r="O25" s="612"/>
      <c r="P25" s="604"/>
      <c r="Q25" s="607"/>
      <c r="R25" s="608"/>
      <c r="S25" s="245"/>
      <c r="T25" s="239"/>
      <c r="U25" s="239"/>
      <c r="V25" s="239"/>
      <c r="W25" s="239"/>
      <c r="X25" s="239"/>
      <c r="Y25" s="239"/>
      <c r="Z25" s="270"/>
    </row>
    <row r="26" spans="2:26" ht="15" customHeight="1">
      <c r="B26" s="292"/>
      <c r="C26" s="245"/>
      <c r="D26" s="245"/>
      <c r="E26" s="245"/>
      <c r="F26" s="245"/>
      <c r="G26" s="245"/>
      <c r="H26" s="245"/>
      <c r="I26" s="245"/>
      <c r="J26" s="245"/>
      <c r="K26" s="245"/>
      <c r="L26" s="292"/>
      <c r="M26" s="245"/>
      <c r="N26" s="245"/>
      <c r="O26" s="245"/>
      <c r="P26" s="245"/>
      <c r="Q26" s="245"/>
      <c r="R26" s="245"/>
      <c r="S26" s="245"/>
      <c r="T26" s="239"/>
      <c r="U26" s="239"/>
      <c r="V26" s="239"/>
      <c r="W26" s="239"/>
      <c r="X26" s="239"/>
      <c r="Y26" s="239"/>
      <c r="Z26" s="270"/>
    </row>
    <row r="27" spans="2:26" ht="15" customHeight="1">
      <c r="B27" s="292"/>
      <c r="C27" s="245"/>
      <c r="D27" s="609">
        <f>'給水負荷単位'!K37</f>
        <v>0</v>
      </c>
      <c r="E27" s="610"/>
      <c r="F27" s="603" t="s">
        <v>332</v>
      </c>
      <c r="G27" s="613">
        <f>'給水負荷単位'!M37</f>
        <v>0</v>
      </c>
      <c r="H27" s="614"/>
      <c r="I27" s="245"/>
      <c r="J27" s="245"/>
      <c r="K27" s="245"/>
      <c r="L27" s="292"/>
      <c r="M27" s="245"/>
      <c r="N27" s="245"/>
      <c r="O27" s="245"/>
      <c r="P27" s="245"/>
      <c r="Q27" s="245"/>
      <c r="R27" s="245"/>
      <c r="S27" s="245"/>
      <c r="T27" s="239"/>
      <c r="U27" s="239"/>
      <c r="V27" s="239"/>
      <c r="W27" s="239"/>
      <c r="X27" s="239"/>
      <c r="Y27" s="239"/>
      <c r="Z27" s="270"/>
    </row>
    <row r="28" spans="2:26" ht="15" customHeight="1">
      <c r="B28" s="292"/>
      <c r="C28" s="245"/>
      <c r="D28" s="611"/>
      <c r="E28" s="612"/>
      <c r="F28" s="604"/>
      <c r="G28" s="615"/>
      <c r="H28" s="616"/>
      <c r="I28" s="245"/>
      <c r="J28" s="245"/>
      <c r="K28" s="245"/>
      <c r="L28" s="292"/>
      <c r="M28" s="245"/>
      <c r="N28" s="245"/>
      <c r="O28" s="245"/>
      <c r="P28" s="245"/>
      <c r="Q28" s="245"/>
      <c r="R28" s="245"/>
      <c r="S28" s="245"/>
      <c r="T28" s="239"/>
      <c r="U28" s="239"/>
      <c r="V28" s="239"/>
      <c r="W28" s="239"/>
      <c r="X28" s="239"/>
      <c r="Y28" s="239"/>
      <c r="Z28" s="270"/>
    </row>
    <row r="29" spans="2:26" ht="15" customHeight="1">
      <c r="B29" s="292"/>
      <c r="C29" s="245"/>
      <c r="D29" s="245"/>
      <c r="E29" s="245"/>
      <c r="F29" s="245"/>
      <c r="G29" s="245"/>
      <c r="H29" s="245"/>
      <c r="I29" s="245"/>
      <c r="J29" s="245"/>
      <c r="K29" s="245"/>
      <c r="L29" s="292"/>
      <c r="M29" s="245"/>
      <c r="N29" s="245"/>
      <c r="O29" s="239">
        <f>'給水負荷単位'!K3</f>
        <v>3</v>
      </c>
      <c r="P29" s="239" t="s">
        <v>329</v>
      </c>
      <c r="Q29" s="245"/>
      <c r="R29" s="245"/>
      <c r="S29" s="245"/>
      <c r="T29" s="239"/>
      <c r="U29" s="239"/>
      <c r="V29" s="239"/>
      <c r="W29" s="239"/>
      <c r="X29" s="239"/>
      <c r="Y29" s="239"/>
      <c r="Z29" s="270"/>
    </row>
    <row r="30" spans="2:26" ht="15" customHeight="1" thickBot="1">
      <c r="B30" s="292"/>
      <c r="C30" s="245"/>
      <c r="D30" s="245"/>
      <c r="E30" s="245"/>
      <c r="F30" s="245"/>
      <c r="G30" s="245"/>
      <c r="H30" s="245"/>
      <c r="I30" s="245"/>
      <c r="J30" s="245"/>
      <c r="K30" s="600" t="s">
        <v>341</v>
      </c>
      <c r="L30" s="293"/>
      <c r="M30" s="290" t="s">
        <v>342</v>
      </c>
      <c r="N30" s="609">
        <f>'給水負荷単位'!M32</f>
        <v>0</v>
      </c>
      <c r="O30" s="610"/>
      <c r="P30" s="603" t="s">
        <v>332</v>
      </c>
      <c r="Q30" s="605">
        <f>'給水負荷単位'!M33</f>
        <v>0</v>
      </c>
      <c r="R30" s="606"/>
      <c r="S30" s="245"/>
      <c r="T30" s="239"/>
      <c r="U30" s="239"/>
      <c r="V30" s="239"/>
      <c r="W30" s="239"/>
      <c r="X30" s="239"/>
      <c r="Y30" s="239"/>
      <c r="Z30" s="270"/>
    </row>
    <row r="31" spans="2:26" ht="15" customHeight="1">
      <c r="B31" s="292"/>
      <c r="C31" s="245"/>
      <c r="D31" s="145"/>
      <c r="E31" s="145"/>
      <c r="F31" s="145"/>
      <c r="G31" s="145"/>
      <c r="H31" s="144"/>
      <c r="I31" s="245"/>
      <c r="J31" s="245"/>
      <c r="K31" s="600"/>
      <c r="L31" s="292"/>
      <c r="M31" s="245"/>
      <c r="N31" s="611"/>
      <c r="O31" s="612"/>
      <c r="P31" s="604"/>
      <c r="Q31" s="607"/>
      <c r="R31" s="608"/>
      <c r="S31" s="245"/>
      <c r="T31" s="239"/>
      <c r="U31" s="239"/>
      <c r="V31" s="239"/>
      <c r="W31" s="239"/>
      <c r="X31" s="239"/>
      <c r="Y31" s="239"/>
      <c r="Z31" s="270"/>
    </row>
    <row r="32" spans="2:26" ht="15" customHeight="1">
      <c r="B32" s="292"/>
      <c r="C32" s="245"/>
      <c r="D32" s="245"/>
      <c r="E32" s="245"/>
      <c r="F32" s="245"/>
      <c r="G32" s="245"/>
      <c r="H32" s="245"/>
      <c r="I32" s="245"/>
      <c r="J32" s="245"/>
      <c r="K32" s="245"/>
      <c r="L32" s="292"/>
      <c r="M32" s="245"/>
      <c r="N32" s="245"/>
      <c r="O32" s="245"/>
      <c r="P32" s="245"/>
      <c r="Q32" s="245"/>
      <c r="R32" s="245"/>
      <c r="S32" s="245"/>
      <c r="T32" s="239"/>
      <c r="U32" s="239"/>
      <c r="V32" s="239"/>
      <c r="W32" s="239"/>
      <c r="X32" s="239"/>
      <c r="Y32" s="239"/>
      <c r="Z32" s="270"/>
    </row>
    <row r="33" spans="2:26" ht="15" customHeight="1">
      <c r="B33" s="292"/>
      <c r="C33" s="245"/>
      <c r="D33" s="609">
        <f>'給水負荷単位'!H37</f>
        <v>0</v>
      </c>
      <c r="E33" s="610"/>
      <c r="F33" s="603" t="s">
        <v>332</v>
      </c>
      <c r="G33" s="613">
        <f>'給水負荷単位'!J37</f>
        <v>0</v>
      </c>
      <c r="H33" s="614"/>
      <c r="I33" s="245"/>
      <c r="J33" s="245"/>
      <c r="K33" s="245"/>
      <c r="L33" s="292"/>
      <c r="M33" s="245"/>
      <c r="N33" s="245"/>
      <c r="O33" s="245"/>
      <c r="P33" s="245"/>
      <c r="Q33" s="245"/>
      <c r="R33" s="245"/>
      <c r="S33" s="245"/>
      <c r="T33" s="239"/>
      <c r="U33" s="32"/>
      <c r="V33" s="32"/>
      <c r="W33" s="32"/>
      <c r="X33" s="32"/>
      <c r="Y33" s="245"/>
      <c r="Z33" s="294"/>
    </row>
    <row r="34" spans="2:26" ht="15" customHeight="1">
      <c r="B34" s="292"/>
      <c r="C34" s="245"/>
      <c r="D34" s="611"/>
      <c r="E34" s="612"/>
      <c r="F34" s="604"/>
      <c r="G34" s="615"/>
      <c r="H34" s="616"/>
      <c r="I34" s="245"/>
      <c r="J34" s="245"/>
      <c r="K34" s="245"/>
      <c r="L34" s="292"/>
      <c r="M34" s="245"/>
      <c r="N34" s="245"/>
      <c r="O34" s="245"/>
      <c r="P34" s="245"/>
      <c r="Q34" s="245"/>
      <c r="R34" s="245"/>
      <c r="S34" s="245"/>
      <c r="T34" s="239"/>
      <c r="U34" s="32"/>
      <c r="V34" s="32"/>
      <c r="W34" s="32"/>
      <c r="X34" s="32"/>
      <c r="Y34" s="245"/>
      <c r="Z34" s="294"/>
    </row>
    <row r="35" spans="2:26" ht="15" customHeight="1">
      <c r="B35" s="292"/>
      <c r="C35" s="245"/>
      <c r="D35" s="245"/>
      <c r="E35" s="245"/>
      <c r="F35" s="245"/>
      <c r="G35" s="245"/>
      <c r="H35" s="245"/>
      <c r="I35" s="245"/>
      <c r="J35" s="245"/>
      <c r="K35" s="245"/>
      <c r="L35" s="292"/>
      <c r="M35" s="245"/>
      <c r="N35" s="245"/>
      <c r="O35" s="239">
        <f>'給水負荷単位'!H3</f>
        <v>2</v>
      </c>
      <c r="P35" s="239" t="s">
        <v>329</v>
      </c>
      <c r="Q35" s="245"/>
      <c r="R35" s="245"/>
      <c r="S35" s="245"/>
      <c r="T35" s="239"/>
      <c r="U35" s="239"/>
      <c r="V35" s="239"/>
      <c r="W35" s="239"/>
      <c r="X35" s="239"/>
      <c r="Y35" s="245"/>
      <c r="Z35" s="270"/>
    </row>
    <row r="36" spans="2:26" ht="15" customHeight="1" thickBot="1">
      <c r="B36" s="292"/>
      <c r="C36" s="245"/>
      <c r="D36" s="245"/>
      <c r="E36" s="245"/>
      <c r="F36" s="245"/>
      <c r="G36" s="245"/>
      <c r="H36" s="245"/>
      <c r="I36" s="245"/>
      <c r="J36" s="245"/>
      <c r="K36" s="600" t="s">
        <v>343</v>
      </c>
      <c r="L36" s="293"/>
      <c r="M36" s="284" t="s">
        <v>344</v>
      </c>
      <c r="N36" s="609">
        <f>'給水負荷単位'!J32</f>
        <v>0</v>
      </c>
      <c r="O36" s="610"/>
      <c r="P36" s="603" t="s">
        <v>332</v>
      </c>
      <c r="Q36" s="605">
        <f>'給水負荷単位'!J33</f>
        <v>0</v>
      </c>
      <c r="R36" s="606"/>
      <c r="S36" s="245"/>
      <c r="T36" s="239"/>
      <c r="U36" s="239"/>
      <c r="V36" s="239"/>
      <c r="W36" s="239"/>
      <c r="X36" s="239"/>
      <c r="Y36" s="245"/>
      <c r="Z36" s="270"/>
    </row>
    <row r="37" spans="2:26" ht="15" customHeight="1">
      <c r="B37" s="292"/>
      <c r="C37" s="245"/>
      <c r="D37" s="245"/>
      <c r="E37" s="245"/>
      <c r="F37" s="245"/>
      <c r="G37" s="245"/>
      <c r="H37" s="245"/>
      <c r="I37" s="245"/>
      <c r="J37" s="245"/>
      <c r="K37" s="600"/>
      <c r="L37" s="295"/>
      <c r="M37" s="245"/>
      <c r="N37" s="611"/>
      <c r="O37" s="612"/>
      <c r="P37" s="604"/>
      <c r="Q37" s="607"/>
      <c r="R37" s="608"/>
      <c r="S37" s="245"/>
      <c r="T37" s="239"/>
      <c r="U37" s="245"/>
      <c r="V37" s="239"/>
      <c r="W37" s="239"/>
      <c r="X37" s="239"/>
      <c r="Y37" s="245"/>
      <c r="Z37" s="280"/>
    </row>
    <row r="38" spans="2:26" ht="15" customHeight="1">
      <c r="B38" s="292"/>
      <c r="C38" s="245"/>
      <c r="D38" s="245"/>
      <c r="E38" s="245"/>
      <c r="F38" s="245"/>
      <c r="G38" s="245"/>
      <c r="H38" s="245"/>
      <c r="I38" s="245"/>
      <c r="J38" s="245"/>
      <c r="K38" s="245"/>
      <c r="L38" s="292"/>
      <c r="M38" s="245"/>
      <c r="N38" s="275"/>
      <c r="O38" s="275"/>
      <c r="P38" s="271"/>
      <c r="Q38" s="285"/>
      <c r="R38" s="285"/>
      <c r="S38" s="245"/>
      <c r="T38" s="239"/>
      <c r="U38" s="245"/>
      <c r="V38" s="239"/>
      <c r="W38" s="239"/>
      <c r="X38" s="239"/>
      <c r="Y38" s="245"/>
      <c r="Z38" s="280"/>
    </row>
    <row r="39" spans="2:26" ht="15" customHeight="1">
      <c r="B39" s="292"/>
      <c r="C39" s="245"/>
      <c r="D39" s="245"/>
      <c r="E39" s="245"/>
      <c r="F39" s="245"/>
      <c r="G39" s="245"/>
      <c r="H39" s="245"/>
      <c r="I39" s="245"/>
      <c r="J39" s="245"/>
      <c r="K39" s="245"/>
      <c r="L39" s="292"/>
      <c r="M39" s="245"/>
      <c r="N39" s="245"/>
      <c r="O39" s="245"/>
      <c r="P39" s="239"/>
      <c r="Q39" s="296"/>
      <c r="R39" s="296"/>
      <c r="S39" s="245"/>
      <c r="T39" s="239"/>
      <c r="U39" s="245"/>
      <c r="V39" s="239"/>
      <c r="W39" s="239"/>
      <c r="X39" s="239"/>
      <c r="Y39" s="245"/>
      <c r="Z39" s="280"/>
    </row>
    <row r="40" spans="2:26" ht="15" customHeight="1">
      <c r="B40" s="292"/>
      <c r="C40" s="245"/>
      <c r="D40" s="245"/>
      <c r="E40" s="245"/>
      <c r="F40" s="245"/>
      <c r="G40" s="245"/>
      <c r="H40" s="245"/>
      <c r="I40" s="245"/>
      <c r="J40" s="245"/>
      <c r="K40" s="245"/>
      <c r="L40" s="292"/>
      <c r="M40" s="245"/>
      <c r="N40" s="245"/>
      <c r="O40" s="245"/>
      <c r="P40" s="239"/>
      <c r="Q40" s="296"/>
      <c r="R40" s="296"/>
      <c r="S40" s="245"/>
      <c r="T40" s="239"/>
      <c r="U40" s="245"/>
      <c r="V40" s="239"/>
      <c r="W40" s="239"/>
      <c r="X40" s="239"/>
      <c r="Y40" s="245"/>
      <c r="Z40" s="280"/>
    </row>
    <row r="41" spans="2:26" ht="15" customHeight="1">
      <c r="B41" s="292"/>
      <c r="C41" s="245"/>
      <c r="D41" s="245"/>
      <c r="E41" s="245"/>
      <c r="F41" s="245"/>
      <c r="G41" s="245"/>
      <c r="H41" s="245"/>
      <c r="I41" s="245"/>
      <c r="J41" s="245"/>
      <c r="K41" s="245"/>
      <c r="L41" s="292"/>
      <c r="M41" s="245"/>
      <c r="N41" s="36"/>
      <c r="O41" s="272">
        <f>'給水負荷単位'!E3</f>
        <v>1</v>
      </c>
      <c r="P41" s="272" t="s">
        <v>329</v>
      </c>
      <c r="Q41" s="288"/>
      <c r="R41" s="288"/>
      <c r="S41" s="245"/>
      <c r="T41" s="239"/>
      <c r="U41" s="245"/>
      <c r="V41" s="239"/>
      <c r="W41" s="239"/>
      <c r="X41" s="239"/>
      <c r="Y41" s="245"/>
      <c r="Z41" s="280"/>
    </row>
    <row r="42" spans="2:26" ht="15" customHeight="1" thickBot="1">
      <c r="B42" s="292"/>
      <c r="C42" s="245"/>
      <c r="D42" s="245"/>
      <c r="E42" s="245"/>
      <c r="F42" s="245"/>
      <c r="G42" s="245"/>
      <c r="H42" s="245"/>
      <c r="I42" s="245"/>
      <c r="J42" s="245"/>
      <c r="K42" s="245"/>
      <c r="L42" s="293"/>
      <c r="M42" s="284" t="s">
        <v>345</v>
      </c>
      <c r="N42" s="609">
        <f>'給水負荷単位'!G32</f>
        <v>0</v>
      </c>
      <c r="O42" s="610"/>
      <c r="P42" s="603" t="s">
        <v>332</v>
      </c>
      <c r="Q42" s="605">
        <f>'給水負荷単位'!G33</f>
        <v>0</v>
      </c>
      <c r="R42" s="606"/>
      <c r="S42" s="245"/>
      <c r="T42" s="239"/>
      <c r="U42" s="239"/>
      <c r="V42" s="239"/>
      <c r="W42" s="239"/>
      <c r="X42" s="239"/>
      <c r="Y42" s="245"/>
      <c r="Z42" s="270"/>
    </row>
    <row r="43" spans="2:26" ht="15" customHeight="1">
      <c r="B43" s="292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611"/>
      <c r="O43" s="612"/>
      <c r="P43" s="604"/>
      <c r="Q43" s="607"/>
      <c r="R43" s="608"/>
      <c r="S43" s="245"/>
      <c r="T43" s="239"/>
      <c r="U43" s="245"/>
      <c r="V43" s="239"/>
      <c r="W43" s="239"/>
      <c r="X43" s="239"/>
      <c r="Y43" s="245"/>
      <c r="Z43" s="280"/>
    </row>
    <row r="44" spans="2:26" ht="15" customHeight="1">
      <c r="B44" s="292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39"/>
      <c r="U44" s="32"/>
      <c r="V44" s="32"/>
      <c r="W44" s="32"/>
      <c r="X44" s="32"/>
      <c r="Y44" s="32"/>
      <c r="Z44" s="294"/>
    </row>
    <row r="45" spans="2:26" ht="15" customHeight="1">
      <c r="B45" s="292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39"/>
      <c r="U45" s="32"/>
      <c r="V45" s="32"/>
      <c r="W45" s="32"/>
      <c r="X45" s="32"/>
      <c r="Y45" s="32"/>
      <c r="Z45" s="294"/>
    </row>
    <row r="46" spans="2:26" ht="15" customHeight="1">
      <c r="B46" s="292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39"/>
      <c r="U46" s="32"/>
      <c r="V46" s="32"/>
      <c r="W46" s="32"/>
      <c r="X46" s="32"/>
      <c r="Y46" s="32"/>
      <c r="Z46" s="294"/>
    </row>
    <row r="47" spans="2:26" ht="15" customHeight="1">
      <c r="B47" s="292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52"/>
      <c r="T47" s="52"/>
      <c r="U47" s="52"/>
      <c r="V47" s="52"/>
      <c r="W47" s="52"/>
      <c r="X47" s="52"/>
      <c r="Y47" s="52"/>
      <c r="Z47" s="280"/>
    </row>
    <row r="48" spans="2:26" ht="15" customHeight="1">
      <c r="B48" s="292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52"/>
      <c r="T48" s="52"/>
      <c r="U48" s="52"/>
      <c r="V48" s="52"/>
      <c r="W48" s="52"/>
      <c r="X48" s="52"/>
      <c r="Y48" s="52"/>
      <c r="Z48" s="280"/>
    </row>
    <row r="49" spans="2:26" ht="15" customHeight="1">
      <c r="B49" s="292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52"/>
      <c r="T49" s="52"/>
      <c r="U49" s="52"/>
      <c r="V49" s="52"/>
      <c r="W49" s="52"/>
      <c r="X49" s="52"/>
      <c r="Y49" s="52"/>
      <c r="Z49" s="294"/>
    </row>
    <row r="50" spans="2:26" ht="15" customHeight="1">
      <c r="B50" s="292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76"/>
      <c r="U50" s="245"/>
      <c r="V50" s="245"/>
      <c r="W50" s="245"/>
      <c r="X50" s="245"/>
      <c r="Y50" s="245"/>
      <c r="Z50" s="294"/>
    </row>
    <row r="51" spans="2:26" ht="15" customHeight="1">
      <c r="B51" s="292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621" t="s">
        <v>346</v>
      </c>
      <c r="T51" s="622"/>
      <c r="U51" s="622"/>
      <c r="V51" s="622" t="s">
        <v>148</v>
      </c>
      <c r="W51" s="622" t="s">
        <v>347</v>
      </c>
      <c r="X51" s="622"/>
      <c r="Y51" s="625"/>
      <c r="Z51" s="280"/>
    </row>
    <row r="52" spans="2:26" ht="15" customHeight="1">
      <c r="B52" s="292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623"/>
      <c r="T52" s="624"/>
      <c r="U52" s="624"/>
      <c r="V52" s="624"/>
      <c r="W52" s="624"/>
      <c r="X52" s="624"/>
      <c r="Y52" s="626"/>
      <c r="Z52" s="280"/>
    </row>
    <row r="53" spans="2:26" ht="15" customHeight="1" thickBot="1">
      <c r="B53" s="293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84"/>
      <c r="U53" s="298"/>
      <c r="V53" s="297"/>
      <c r="W53" s="297"/>
      <c r="X53" s="297"/>
      <c r="Y53" s="297"/>
      <c r="Z53" s="299"/>
    </row>
  </sheetData>
  <sheetProtection password="E916" sheet="1" objects="1" scenarios="1" selectLockedCells="1" selectUnlockedCells="1"/>
  <mergeCells count="47">
    <mergeCell ref="S51:U52"/>
    <mergeCell ref="V51:V52"/>
    <mergeCell ref="W51:Y52"/>
    <mergeCell ref="N30:O31"/>
    <mergeCell ref="P30:P31"/>
    <mergeCell ref="Q30:R31"/>
    <mergeCell ref="N36:O37"/>
    <mergeCell ref="P42:P43"/>
    <mergeCell ref="Q42:R43"/>
    <mergeCell ref="N42:O43"/>
    <mergeCell ref="N24:O25"/>
    <mergeCell ref="P24:P25"/>
    <mergeCell ref="Q24:R25"/>
    <mergeCell ref="B2:Z2"/>
    <mergeCell ref="V14:X14"/>
    <mergeCell ref="V20:X20"/>
    <mergeCell ref="O6:R7"/>
    <mergeCell ref="N12:O13"/>
    <mergeCell ref="P12:P13"/>
    <mergeCell ref="Q12:R13"/>
    <mergeCell ref="G33:H34"/>
    <mergeCell ref="F27:F28"/>
    <mergeCell ref="F33:F34"/>
    <mergeCell ref="D33:E34"/>
    <mergeCell ref="D27:E28"/>
    <mergeCell ref="D9:E10"/>
    <mergeCell ref="F9:F10"/>
    <mergeCell ref="F15:F16"/>
    <mergeCell ref="F21:F22"/>
    <mergeCell ref="G21:H22"/>
    <mergeCell ref="G27:H28"/>
    <mergeCell ref="D21:E22"/>
    <mergeCell ref="D15:E16"/>
    <mergeCell ref="K12:K13"/>
    <mergeCell ref="K18:K19"/>
    <mergeCell ref="G9:H10"/>
    <mergeCell ref="G15:H16"/>
    <mergeCell ref="K36:K37"/>
    <mergeCell ref="K24:K25"/>
    <mergeCell ref="K30:K31"/>
    <mergeCell ref="V15:X15"/>
    <mergeCell ref="V21:X21"/>
    <mergeCell ref="P36:P37"/>
    <mergeCell ref="Q36:R37"/>
    <mergeCell ref="N18:O19"/>
    <mergeCell ref="P18:P19"/>
    <mergeCell ref="Q18:R19"/>
  </mergeCells>
  <printOptions/>
  <pageMargins left="0.7874015748031497" right="0.1968503937007874" top="0.984251968503937" bottom="0.3937007874015748" header="0.3937007874015748" footer="0.1968503937007874"/>
  <pageSetup horizontalDpi="600" verticalDpi="600" orientation="portrait" paperSize="9" r:id="rId2"/>
  <headerFooter alignWithMargins="0">
    <oddHeader>&amp;L&amp;"MS UI Gothic,標準"&amp;12&amp;U給 排 水 衛 生 設 備&amp;"ＭＳ Ｐゴシック,標準"&amp;11&amp;U
　　&amp;"MS UI Gothic,標準"給水立て主管の算定（高置タンク方式の場合）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49"/>
  <sheetViews>
    <sheetView showGridLines="0" showRowColHeaders="0" showZeros="0" zoomScale="110" zoomScaleNormal="110" workbookViewId="0" topLeftCell="A1">
      <selection activeCell="E49" sqref="E49"/>
    </sheetView>
  </sheetViews>
  <sheetFormatPr defaultColWidth="9.00390625" defaultRowHeight="13.5"/>
  <cols>
    <col min="1" max="1" width="1.625" style="21" customWidth="1"/>
    <col min="2" max="2" width="5.125" style="21" customWidth="1"/>
    <col min="3" max="4" width="5.625" style="21" customWidth="1"/>
    <col min="5" max="7" width="11.125" style="21" customWidth="1"/>
    <col min="8" max="8" width="11.625" style="21" customWidth="1"/>
    <col min="9" max="9" width="11.125" style="21" customWidth="1"/>
    <col min="10" max="10" width="2.625" style="21" customWidth="1"/>
    <col min="11" max="11" width="8.625" style="21" customWidth="1"/>
    <col min="12" max="12" width="11.125" style="21" customWidth="1"/>
    <col min="13" max="13" width="2.625" style="21" customWidth="1"/>
    <col min="14" max="14" width="5.625" style="21" customWidth="1"/>
    <col min="15" max="15" width="9.00390625" style="21" customWidth="1"/>
    <col min="16" max="16" width="10.625" style="21" customWidth="1"/>
    <col min="17" max="16384" width="9.00390625" style="21" customWidth="1"/>
  </cols>
  <sheetData>
    <row r="1" ht="9.75" customHeight="1" thickBot="1"/>
    <row r="2" spans="2:13" ht="19.5" customHeight="1">
      <c r="B2" s="627" t="s">
        <v>105</v>
      </c>
      <c r="C2" s="628"/>
      <c r="D2" s="628"/>
      <c r="E2" s="628"/>
      <c r="F2" s="628"/>
      <c r="G2" s="628"/>
      <c r="H2" s="628"/>
      <c r="I2" s="628"/>
      <c r="J2" s="628"/>
      <c r="K2" s="628"/>
      <c r="L2" s="629"/>
      <c r="M2" s="23"/>
    </row>
    <row r="3" spans="2:15" ht="15" customHeight="1">
      <c r="B3" s="363" t="s">
        <v>106</v>
      </c>
      <c r="C3" s="357" t="s">
        <v>3</v>
      </c>
      <c r="D3" s="331"/>
      <c r="E3" s="63" t="s">
        <v>1</v>
      </c>
      <c r="F3" s="67" t="s">
        <v>5</v>
      </c>
      <c r="G3" s="63" t="s">
        <v>7</v>
      </c>
      <c r="H3" s="63" t="s">
        <v>9</v>
      </c>
      <c r="I3" s="67" t="s">
        <v>24</v>
      </c>
      <c r="J3" s="357" t="s">
        <v>10</v>
      </c>
      <c r="K3" s="331"/>
      <c r="L3" s="164" t="s">
        <v>16</v>
      </c>
      <c r="M3" s="24"/>
      <c r="N3" s="15"/>
      <c r="O3" s="16" t="s">
        <v>31</v>
      </c>
    </row>
    <row r="4" spans="2:15" ht="15" customHeight="1">
      <c r="B4" s="364"/>
      <c r="C4" s="371" t="s">
        <v>4</v>
      </c>
      <c r="D4" s="371"/>
      <c r="E4" s="52"/>
      <c r="F4" s="62" t="s">
        <v>6</v>
      </c>
      <c r="G4" s="60" t="s">
        <v>8</v>
      </c>
      <c r="H4" s="52"/>
      <c r="I4" s="62" t="s">
        <v>348</v>
      </c>
      <c r="J4" s="323" t="s">
        <v>349</v>
      </c>
      <c r="K4" s="324"/>
      <c r="L4" s="157" t="s">
        <v>11</v>
      </c>
      <c r="M4" s="24"/>
      <c r="N4" s="17"/>
      <c r="O4" s="16" t="s">
        <v>104</v>
      </c>
    </row>
    <row r="5" spans="2:13" ht="15" customHeight="1">
      <c r="B5" s="364"/>
      <c r="C5" s="344" t="s">
        <v>350</v>
      </c>
      <c r="D5" s="333"/>
      <c r="E5" s="62" t="s">
        <v>351</v>
      </c>
      <c r="F5" s="60" t="s">
        <v>352</v>
      </c>
      <c r="G5" s="60" t="s">
        <v>353</v>
      </c>
      <c r="H5" s="60" t="s">
        <v>354</v>
      </c>
      <c r="I5" s="62" t="s">
        <v>355</v>
      </c>
      <c r="J5" s="654" t="s">
        <v>356</v>
      </c>
      <c r="K5" s="655"/>
      <c r="L5" s="157" t="s">
        <v>357</v>
      </c>
      <c r="M5" s="24"/>
    </row>
    <row r="6" spans="2:14" ht="21.75" customHeight="1">
      <c r="B6" s="364"/>
      <c r="C6" s="474"/>
      <c r="D6" s="652"/>
      <c r="E6" s="300"/>
      <c r="F6" s="315">
        <v>3</v>
      </c>
      <c r="G6" s="302">
        <v>0.5</v>
      </c>
      <c r="H6" s="300"/>
      <c r="I6" s="302">
        <f>0.5*H6</f>
        <v>0</v>
      </c>
      <c r="J6" s="356"/>
      <c r="K6" s="653"/>
      <c r="L6" s="165">
        <f>IF(ISBLANK($H$6),"",ROUND(1000*(C6-E6-F6-G6)/(H6+I6),0))</f>
      </c>
      <c r="M6" s="25"/>
      <c r="N6" s="26"/>
    </row>
    <row r="7" spans="2:17" s="26" customFormat="1" ht="15" customHeight="1">
      <c r="B7" s="364"/>
      <c r="C7" s="357" t="s">
        <v>12</v>
      </c>
      <c r="D7" s="390"/>
      <c r="E7" s="357" t="s">
        <v>10</v>
      </c>
      <c r="F7" s="331"/>
      <c r="G7" s="63" t="s">
        <v>13</v>
      </c>
      <c r="H7" s="67" t="s">
        <v>14</v>
      </c>
      <c r="I7" s="63" t="s">
        <v>15</v>
      </c>
      <c r="J7" s="357" t="s">
        <v>16</v>
      </c>
      <c r="K7" s="331"/>
      <c r="L7" s="164" t="s">
        <v>17</v>
      </c>
      <c r="M7" s="24"/>
      <c r="P7" s="27" t="s">
        <v>15</v>
      </c>
      <c r="Q7" s="26" t="s">
        <v>107</v>
      </c>
    </row>
    <row r="8" spans="2:17" s="26" customFormat="1" ht="15" customHeight="1">
      <c r="B8" s="364"/>
      <c r="C8" s="352" t="s">
        <v>2</v>
      </c>
      <c r="D8" s="371"/>
      <c r="E8" s="352"/>
      <c r="F8" s="332"/>
      <c r="G8" s="60"/>
      <c r="H8" s="62"/>
      <c r="I8" s="60"/>
      <c r="J8" s="352" t="s">
        <v>11</v>
      </c>
      <c r="K8" s="332"/>
      <c r="L8" s="301" t="s">
        <v>15</v>
      </c>
      <c r="M8" s="28"/>
      <c r="N8" s="21"/>
      <c r="P8" s="27" t="s">
        <v>108</v>
      </c>
      <c r="Q8" s="25" t="s">
        <v>109</v>
      </c>
    </row>
    <row r="9" spans="2:13" ht="15" customHeight="1">
      <c r="B9" s="364"/>
      <c r="C9" s="670" t="s">
        <v>358</v>
      </c>
      <c r="D9" s="371"/>
      <c r="E9" s="344"/>
      <c r="F9" s="333"/>
      <c r="G9" s="60" t="s">
        <v>359</v>
      </c>
      <c r="H9" s="62" t="s">
        <v>30</v>
      </c>
      <c r="I9" s="60" t="s">
        <v>360</v>
      </c>
      <c r="J9" s="344" t="s">
        <v>360</v>
      </c>
      <c r="K9" s="333"/>
      <c r="L9" s="157" t="s">
        <v>361</v>
      </c>
      <c r="M9" s="24"/>
    </row>
    <row r="10" spans="2:23" ht="21.75" customHeight="1">
      <c r="B10" s="348"/>
      <c r="C10" s="356">
        <f>'給水量'!D46</f>
        <v>0</v>
      </c>
      <c r="D10" s="656"/>
      <c r="E10" s="656" t="s">
        <v>362</v>
      </c>
      <c r="F10" s="356"/>
      <c r="G10" s="183">
        <f>ROUND(C10/60,0)</f>
        <v>0</v>
      </c>
      <c r="H10" s="155">
        <f>ROUND([1]!SGP_VA推奨流速(G10),1)</f>
        <v>0</v>
      </c>
      <c r="I10" s="176">
        <f>ROUND([1]!SGP_VA推奨摩擦抵抗(G10),0)</f>
        <v>0</v>
      </c>
      <c r="J10" s="303"/>
      <c r="K10" s="183">
        <f>L6</f>
      </c>
      <c r="L10" s="304">
        <f>[1]!SGP_VA呼び径(G10,I10)</f>
        <v>0</v>
      </c>
      <c r="M10" s="25"/>
      <c r="P10" s="24"/>
      <c r="Q10" s="24"/>
      <c r="R10" s="24"/>
      <c r="S10" s="24"/>
      <c r="T10" s="25"/>
      <c r="U10" s="25"/>
      <c r="V10" s="25"/>
      <c r="W10" s="25"/>
    </row>
    <row r="11" spans="2:23" ht="15" customHeight="1">
      <c r="B11" s="349" t="s">
        <v>110</v>
      </c>
      <c r="C11" s="357"/>
      <c r="D11" s="390"/>
      <c r="E11" s="63" t="s">
        <v>19</v>
      </c>
      <c r="F11" s="63" t="s">
        <v>14</v>
      </c>
      <c r="G11" s="63" t="s">
        <v>20</v>
      </c>
      <c r="H11" s="63" t="s">
        <v>18</v>
      </c>
      <c r="I11" s="63" t="s">
        <v>19</v>
      </c>
      <c r="J11" s="357" t="s">
        <v>14</v>
      </c>
      <c r="K11" s="331"/>
      <c r="L11" s="164"/>
      <c r="M11" s="24"/>
      <c r="P11" s="25"/>
      <c r="Q11" s="25"/>
      <c r="R11" s="25"/>
      <c r="S11" s="29"/>
      <c r="T11" s="27"/>
      <c r="U11" s="25"/>
      <c r="V11" s="25"/>
      <c r="W11" s="25"/>
    </row>
    <row r="12" spans="2:23" ht="15" customHeight="1">
      <c r="B12" s="350"/>
      <c r="C12" s="352" t="s">
        <v>18</v>
      </c>
      <c r="D12" s="371"/>
      <c r="E12" s="60" t="s">
        <v>363</v>
      </c>
      <c r="F12" s="60"/>
      <c r="G12" s="60"/>
      <c r="H12" s="60"/>
      <c r="I12" s="60" t="s">
        <v>363</v>
      </c>
      <c r="J12" s="352"/>
      <c r="K12" s="332"/>
      <c r="L12" s="157" t="s">
        <v>17</v>
      </c>
      <c r="M12" s="24"/>
      <c r="P12" s="25"/>
      <c r="Q12" s="25"/>
      <c r="R12" s="25"/>
      <c r="S12" s="25"/>
      <c r="T12" s="25"/>
      <c r="U12" s="25"/>
      <c r="V12" s="25"/>
      <c r="W12" s="25"/>
    </row>
    <row r="13" spans="2:23" ht="15" customHeight="1">
      <c r="B13" s="350"/>
      <c r="C13" s="352"/>
      <c r="D13" s="371"/>
      <c r="E13" s="60" t="s">
        <v>29</v>
      </c>
      <c r="F13" s="60" t="s">
        <v>30</v>
      </c>
      <c r="G13" s="60"/>
      <c r="H13" s="60"/>
      <c r="I13" s="60" t="s">
        <v>29</v>
      </c>
      <c r="J13" s="344" t="s">
        <v>30</v>
      </c>
      <c r="K13" s="333"/>
      <c r="L13" s="157"/>
      <c r="M13" s="24"/>
      <c r="P13" s="25"/>
      <c r="Q13" s="25"/>
      <c r="R13" s="25"/>
      <c r="S13" s="25"/>
      <c r="T13" s="25"/>
      <c r="U13" s="25"/>
      <c r="V13" s="25"/>
      <c r="W13" s="25"/>
    </row>
    <row r="14" spans="2:23" ht="16.5" customHeight="1">
      <c r="B14" s="350"/>
      <c r="C14" s="404" t="s">
        <v>364</v>
      </c>
      <c r="D14" s="405"/>
      <c r="E14" s="71">
        <f>'ﾀﾝｸ･揚水ﾎﾟﾝﾌﾟ'!L18</f>
        <v>0</v>
      </c>
      <c r="F14" s="71">
        <f>'ﾀﾝｸ･揚水ﾎﾟﾝﾌﾟ'!E26</f>
        <v>0</v>
      </c>
      <c r="G14" s="71">
        <f>'ﾀﾝｸ･揚水ﾎﾟﾝﾌﾟ'!D26</f>
        <v>0</v>
      </c>
      <c r="H14" s="71" t="s">
        <v>46</v>
      </c>
      <c r="I14" s="71" t="s">
        <v>46</v>
      </c>
      <c r="J14" s="404" t="s">
        <v>46</v>
      </c>
      <c r="K14" s="405"/>
      <c r="L14" s="304" t="s">
        <v>46</v>
      </c>
      <c r="M14" s="24"/>
      <c r="P14" s="24"/>
      <c r="Q14" s="24"/>
      <c r="R14" s="24"/>
      <c r="S14" s="24"/>
      <c r="T14" s="24"/>
      <c r="U14" s="24"/>
      <c r="V14" s="24"/>
      <c r="W14" s="24"/>
    </row>
    <row r="15" spans="2:23" ht="16.5" customHeight="1">
      <c r="B15" s="351"/>
      <c r="C15" s="408"/>
      <c r="D15" s="648"/>
      <c r="E15" s="61"/>
      <c r="F15" s="61"/>
      <c r="G15" s="61"/>
      <c r="H15" s="61"/>
      <c r="I15" s="61"/>
      <c r="J15" s="408"/>
      <c r="K15" s="648"/>
      <c r="L15" s="305"/>
      <c r="M15" s="24"/>
      <c r="P15" s="24"/>
      <c r="Q15" s="24"/>
      <c r="R15" s="24"/>
      <c r="S15" s="24"/>
      <c r="T15" s="24"/>
      <c r="U15" s="24"/>
      <c r="V15" s="24"/>
      <c r="W15" s="24"/>
    </row>
    <row r="16" spans="2:23" ht="15" customHeight="1">
      <c r="B16" s="636" t="s">
        <v>112</v>
      </c>
      <c r="C16" s="357"/>
      <c r="D16" s="390"/>
      <c r="E16" s="63" t="s">
        <v>1</v>
      </c>
      <c r="F16" s="63" t="s">
        <v>22</v>
      </c>
      <c r="G16" s="63" t="s">
        <v>23</v>
      </c>
      <c r="H16" s="63" t="s">
        <v>24</v>
      </c>
      <c r="I16" s="357" t="s">
        <v>10</v>
      </c>
      <c r="J16" s="645"/>
      <c r="K16" s="331"/>
      <c r="L16" s="164" t="s">
        <v>16</v>
      </c>
      <c r="M16" s="24"/>
      <c r="P16" s="24"/>
      <c r="Q16" s="24"/>
      <c r="R16" s="24"/>
      <c r="S16" s="24"/>
      <c r="T16" s="24"/>
      <c r="U16" s="24"/>
      <c r="V16" s="24"/>
      <c r="W16" s="24"/>
    </row>
    <row r="17" spans="2:23" ht="15" customHeight="1">
      <c r="B17" s="637"/>
      <c r="C17" s="352" t="s">
        <v>21</v>
      </c>
      <c r="D17" s="371"/>
      <c r="E17" s="60"/>
      <c r="F17" s="60" t="s">
        <v>6</v>
      </c>
      <c r="G17" s="60"/>
      <c r="H17" s="60" t="s">
        <v>348</v>
      </c>
      <c r="I17" s="352"/>
      <c r="J17" s="646"/>
      <c r="K17" s="332"/>
      <c r="L17" s="157" t="s">
        <v>11</v>
      </c>
      <c r="M17" s="24"/>
      <c r="P17" s="25"/>
      <c r="Q17" s="25"/>
      <c r="R17" s="25"/>
      <c r="S17" s="25"/>
      <c r="T17" s="25"/>
      <c r="U17" s="25"/>
      <c r="V17" s="25"/>
      <c r="W17" s="25"/>
    </row>
    <row r="18" spans="2:23" ht="15" customHeight="1">
      <c r="B18" s="637"/>
      <c r="C18" s="352"/>
      <c r="D18" s="371"/>
      <c r="E18" s="60" t="s">
        <v>365</v>
      </c>
      <c r="F18" s="60" t="s">
        <v>366</v>
      </c>
      <c r="G18" s="60" t="s">
        <v>354</v>
      </c>
      <c r="H18" s="60" t="s">
        <v>367</v>
      </c>
      <c r="I18" s="344"/>
      <c r="J18" s="647"/>
      <c r="K18" s="333"/>
      <c r="L18" s="157" t="s">
        <v>368</v>
      </c>
      <c r="M18" s="24"/>
      <c r="P18" s="25"/>
      <c r="Q18" s="25"/>
      <c r="R18" s="25"/>
      <c r="S18" s="25"/>
      <c r="T18" s="25"/>
      <c r="U18" s="25"/>
      <c r="V18" s="25"/>
      <c r="W18" s="25"/>
    </row>
    <row r="19" spans="2:23" ht="16.5" customHeight="1">
      <c r="B19" s="637"/>
      <c r="C19" s="630" t="str">
        <f>'立て主管'!V14</f>
        <v>代表水栓(1)</v>
      </c>
      <c r="D19" s="631"/>
      <c r="E19" s="306">
        <f>'立て主管'!W10</f>
        <v>0</v>
      </c>
      <c r="F19" s="166"/>
      <c r="G19" s="166"/>
      <c r="H19" s="71">
        <f>G19</f>
        <v>0</v>
      </c>
      <c r="I19" s="357" t="s">
        <v>369</v>
      </c>
      <c r="J19" s="645"/>
      <c r="K19" s="331"/>
      <c r="L19" s="316">
        <f>IF(ISBLANK(G19),"",ROUND(1000*(E19-F19)/(G19+H19),0))</f>
      </c>
      <c r="M19" s="24"/>
      <c r="N19" s="30">
        <f>IF(ISBLANK(M19),"",ROUND(L19/M19,0))</f>
      </c>
      <c r="P19" s="24"/>
      <c r="Q19" s="24"/>
      <c r="R19" s="24"/>
      <c r="S19" s="24"/>
      <c r="T19" s="24"/>
      <c r="U19" s="24"/>
      <c r="V19" s="24"/>
      <c r="W19" s="24"/>
    </row>
    <row r="20" spans="2:23" ht="16.5" customHeight="1">
      <c r="B20" s="637"/>
      <c r="C20" s="632" t="str">
        <f>'立て主管'!V20</f>
        <v>代表水栓(2)</v>
      </c>
      <c r="D20" s="633"/>
      <c r="E20" s="307">
        <f>'立て主管'!Y13</f>
        <v>0</v>
      </c>
      <c r="F20" s="308"/>
      <c r="G20" s="308"/>
      <c r="H20" s="60">
        <f>G20</f>
        <v>0</v>
      </c>
      <c r="I20" s="352"/>
      <c r="J20" s="646"/>
      <c r="K20" s="332"/>
      <c r="L20" s="317">
        <f>IF(ISBLANK(G20),"",ROUND(1000*(E20-F20)/(G20+H20),0))</f>
      </c>
      <c r="M20" s="24"/>
      <c r="P20" s="24"/>
      <c r="Q20" s="24"/>
      <c r="R20" s="24"/>
      <c r="S20" s="24"/>
      <c r="T20" s="24"/>
      <c r="U20" s="24"/>
      <c r="V20" s="24"/>
      <c r="W20" s="24"/>
    </row>
    <row r="21" spans="2:23" ht="16.5" customHeight="1">
      <c r="B21" s="637"/>
      <c r="C21" s="634"/>
      <c r="D21" s="635"/>
      <c r="E21" s="168"/>
      <c r="F21" s="310"/>
      <c r="G21" s="310"/>
      <c r="H21" s="208">
        <f>G21</f>
        <v>0</v>
      </c>
      <c r="I21" s="344"/>
      <c r="J21" s="647"/>
      <c r="K21" s="333"/>
      <c r="L21" s="318">
        <f>IF(ISBLANK(G21),"",ROUND(1000*(E21-F21)/(G21+H21),0))</f>
      </c>
      <c r="M21" s="24"/>
      <c r="P21" s="24"/>
      <c r="Q21" s="24"/>
      <c r="R21" s="24"/>
      <c r="S21" s="24"/>
      <c r="T21" s="24"/>
      <c r="U21" s="24"/>
      <c r="V21" s="24"/>
      <c r="W21" s="24"/>
    </row>
    <row r="22" spans="2:23" ht="15" customHeight="1">
      <c r="B22" s="637"/>
      <c r="C22" s="62"/>
      <c r="D22" s="60"/>
      <c r="E22" s="60"/>
      <c r="F22" s="60" t="s">
        <v>26</v>
      </c>
      <c r="G22" s="60" t="s">
        <v>28</v>
      </c>
      <c r="H22" s="60" t="s">
        <v>27</v>
      </c>
      <c r="I22" s="390" t="s">
        <v>17</v>
      </c>
      <c r="J22" s="357" t="s">
        <v>370</v>
      </c>
      <c r="K22" s="645"/>
      <c r="L22" s="358"/>
      <c r="M22" s="24"/>
      <c r="P22" s="24"/>
      <c r="Q22" s="24"/>
      <c r="R22" s="24"/>
      <c r="S22" s="24"/>
      <c r="T22" s="24"/>
      <c r="U22" s="24"/>
      <c r="V22" s="24"/>
      <c r="W22" s="24"/>
    </row>
    <row r="23" spans="2:23" ht="15" customHeight="1">
      <c r="B23" s="637"/>
      <c r="C23" s="62" t="s">
        <v>21</v>
      </c>
      <c r="D23" s="60" t="s">
        <v>25</v>
      </c>
      <c r="E23" s="60" t="s">
        <v>26</v>
      </c>
      <c r="F23" s="60" t="s">
        <v>27</v>
      </c>
      <c r="G23" s="60" t="s">
        <v>27</v>
      </c>
      <c r="H23" s="60" t="s">
        <v>371</v>
      </c>
      <c r="I23" s="371"/>
      <c r="J23" s="352"/>
      <c r="K23" s="646"/>
      <c r="L23" s="343"/>
      <c r="M23" s="24"/>
      <c r="P23" s="24"/>
      <c r="Q23" s="24"/>
      <c r="R23" s="24"/>
      <c r="S23" s="24"/>
      <c r="T23" s="24"/>
      <c r="U23" s="24"/>
      <c r="V23" s="24"/>
      <c r="W23" s="24"/>
    </row>
    <row r="24" spans="2:23" ht="15" customHeight="1">
      <c r="B24" s="637"/>
      <c r="C24" s="56"/>
      <c r="D24" s="61"/>
      <c r="E24" s="61"/>
      <c r="F24" s="61" t="s">
        <v>372</v>
      </c>
      <c r="G24" s="61" t="s">
        <v>373</v>
      </c>
      <c r="H24" s="61" t="s">
        <v>111</v>
      </c>
      <c r="I24" s="372"/>
      <c r="J24" s="344"/>
      <c r="K24" s="647"/>
      <c r="L24" s="345"/>
      <c r="M24" s="24"/>
      <c r="P24" s="24"/>
      <c r="Q24" s="24"/>
      <c r="R24" s="24"/>
      <c r="S24" s="24"/>
      <c r="T24" s="24"/>
      <c r="U24" s="24"/>
      <c r="V24" s="24"/>
      <c r="W24" s="24"/>
    </row>
    <row r="25" spans="2:23" ht="16.5" customHeight="1">
      <c r="B25" s="637"/>
      <c r="C25" s="311"/>
      <c r="D25" s="312"/>
      <c r="E25" s="312"/>
      <c r="F25" s="312"/>
      <c r="G25" s="312"/>
      <c r="H25" s="215"/>
      <c r="I25" s="215"/>
      <c r="J25" s="649" t="s">
        <v>374</v>
      </c>
      <c r="K25" s="650"/>
      <c r="L25" s="651"/>
      <c r="M25" s="25"/>
      <c r="P25" s="24"/>
      <c r="Q25" s="24"/>
      <c r="R25" s="24"/>
      <c r="S25" s="24"/>
      <c r="T25" s="24"/>
      <c r="U25" s="24"/>
      <c r="V25" s="24"/>
      <c r="W25" s="24"/>
    </row>
    <row r="26" spans="2:23" ht="16.5" customHeight="1">
      <c r="B26" s="637"/>
      <c r="C26" s="313">
        <f>'給水負荷単位'!H3</f>
        <v>2</v>
      </c>
      <c r="D26" s="314" t="s">
        <v>375</v>
      </c>
      <c r="E26" s="172">
        <f>'給水負荷単位'!J32</f>
        <v>0</v>
      </c>
      <c r="F26" s="172">
        <f>'給水負荷単位'!J33</f>
        <v>0</v>
      </c>
      <c r="G26" s="172">
        <f>'給水負荷単位'!J49</f>
      </c>
      <c r="H26" s="215">
        <f>SUM(F26,G26)</f>
        <v>0</v>
      </c>
      <c r="I26" s="215">
        <f>[1]!SGP_VA呼び径(H26,$F$49)</f>
        <v>0</v>
      </c>
      <c r="J26" s="639"/>
      <c r="K26" s="640"/>
      <c r="L26" s="641"/>
      <c r="M26" s="25"/>
      <c r="P26" s="24"/>
      <c r="Q26" s="24"/>
      <c r="R26" s="24"/>
      <c r="S26" s="24"/>
      <c r="T26" s="24"/>
      <c r="U26" s="24"/>
      <c r="V26" s="24"/>
      <c r="W26" s="24"/>
    </row>
    <row r="27" spans="2:23" ht="16.5" customHeight="1">
      <c r="B27" s="637"/>
      <c r="C27" s="313">
        <f>'給水負荷単位'!K3</f>
        <v>3</v>
      </c>
      <c r="D27" s="314" t="s">
        <v>376</v>
      </c>
      <c r="E27" s="172">
        <f>'給水負荷単位'!M32</f>
        <v>0</v>
      </c>
      <c r="F27" s="172">
        <f>'給水負荷単位'!M33</f>
        <v>0</v>
      </c>
      <c r="G27" s="172">
        <f>'給水負荷単位'!M49</f>
      </c>
      <c r="H27" s="215">
        <f>SUM(F27,G27)</f>
        <v>0</v>
      </c>
      <c r="I27" s="215">
        <f>[1]!SGP_VA呼び径(H27,$F$49)</f>
        <v>0</v>
      </c>
      <c r="J27" s="639"/>
      <c r="K27" s="640"/>
      <c r="L27" s="641"/>
      <c r="M27" s="25"/>
      <c r="P27" s="24"/>
      <c r="Q27" s="24"/>
      <c r="R27" s="24"/>
      <c r="S27" s="24"/>
      <c r="T27" s="24"/>
      <c r="U27" s="24"/>
      <c r="V27" s="24"/>
      <c r="W27" s="24"/>
    </row>
    <row r="28" spans="2:13" ht="16.5" customHeight="1">
      <c r="B28" s="637"/>
      <c r="C28" s="313">
        <f>'給水負荷単位'!N3</f>
        <v>4</v>
      </c>
      <c r="D28" s="314" t="s">
        <v>377</v>
      </c>
      <c r="E28" s="172">
        <f>'給水負荷単位'!P32</f>
        <v>0</v>
      </c>
      <c r="F28" s="172">
        <f>'給水負荷単位'!P33</f>
        <v>0</v>
      </c>
      <c r="G28" s="172">
        <f>'給水負荷単位'!P49</f>
      </c>
      <c r="H28" s="215">
        <f>SUM(F28,G28)</f>
        <v>0</v>
      </c>
      <c r="I28" s="215">
        <f>[1]!SGP_VA呼び径(H28,$F$49)</f>
        <v>0</v>
      </c>
      <c r="J28" s="639"/>
      <c r="K28" s="640"/>
      <c r="L28" s="641"/>
      <c r="M28" s="25"/>
    </row>
    <row r="29" spans="2:13" ht="16.5" customHeight="1">
      <c r="B29" s="637"/>
      <c r="C29" s="313">
        <f>'給水負荷単位'!Q3</f>
        <v>5</v>
      </c>
      <c r="D29" s="314" t="s">
        <v>378</v>
      </c>
      <c r="E29" s="172">
        <f>'給水負荷単位'!S32</f>
        <v>0</v>
      </c>
      <c r="F29" s="172">
        <f>'給水負荷単位'!S33</f>
        <v>0</v>
      </c>
      <c r="G29" s="172">
        <f>'給水負荷単位'!S49</f>
      </c>
      <c r="H29" s="215">
        <f>SUM(F29,G29)</f>
        <v>0</v>
      </c>
      <c r="I29" s="215">
        <f>[1]!SGP_VA呼び径(H29,$F$49)</f>
        <v>0</v>
      </c>
      <c r="J29" s="639"/>
      <c r="K29" s="640"/>
      <c r="L29" s="641"/>
      <c r="M29" s="25"/>
    </row>
    <row r="30" spans="2:13" ht="16.5" customHeight="1">
      <c r="B30" s="637"/>
      <c r="C30" s="313" t="str">
        <f>'給水負荷単位'!T3</f>
        <v>P1</v>
      </c>
      <c r="D30" s="314" t="s">
        <v>379</v>
      </c>
      <c r="E30" s="172">
        <f>'給水負荷単位'!V32</f>
        <v>0</v>
      </c>
      <c r="F30" s="172">
        <f>'給水負荷単位'!V33</f>
        <v>0</v>
      </c>
      <c r="G30" s="172">
        <f>'給水負荷単位'!V49</f>
      </c>
      <c r="H30" s="215">
        <f>SUM(F30,G30)</f>
        <v>0</v>
      </c>
      <c r="I30" s="215">
        <f>[1]!SGP_VA呼び径(H30,$F$49)</f>
        <v>0</v>
      </c>
      <c r="J30" s="639"/>
      <c r="K30" s="640"/>
      <c r="L30" s="641"/>
      <c r="M30" s="25"/>
    </row>
    <row r="31" spans="2:13" ht="16.5" customHeight="1">
      <c r="B31" s="637"/>
      <c r="C31" s="313"/>
      <c r="D31" s="167"/>
      <c r="E31" s="167"/>
      <c r="F31" s="167"/>
      <c r="G31" s="167"/>
      <c r="H31" s="215"/>
      <c r="I31" s="215"/>
      <c r="J31" s="639"/>
      <c r="K31" s="640"/>
      <c r="L31" s="641"/>
      <c r="M31" s="25"/>
    </row>
    <row r="32" spans="2:13" ht="16.5" customHeight="1">
      <c r="B32" s="637"/>
      <c r="C32" s="313"/>
      <c r="D32" s="167"/>
      <c r="E32" s="167"/>
      <c r="F32" s="167"/>
      <c r="G32" s="167"/>
      <c r="H32" s="215"/>
      <c r="I32" s="215"/>
      <c r="J32" s="639" t="s">
        <v>380</v>
      </c>
      <c r="K32" s="640"/>
      <c r="L32" s="641"/>
      <c r="M32" s="25"/>
    </row>
    <row r="33" spans="2:13" ht="16.5" customHeight="1">
      <c r="B33" s="637"/>
      <c r="C33" s="313">
        <f>'給水負荷単位'!E3</f>
        <v>1</v>
      </c>
      <c r="D33" s="314" t="s">
        <v>381</v>
      </c>
      <c r="E33" s="172">
        <f>'給水負荷単位'!G32</f>
        <v>0</v>
      </c>
      <c r="F33" s="172">
        <f>'給水負荷単位'!G37</f>
        <v>0</v>
      </c>
      <c r="G33" s="172">
        <f>'給水負荷単位'!G55</f>
      </c>
      <c r="H33" s="215">
        <f>SUM(F33,G33)</f>
        <v>0</v>
      </c>
      <c r="I33" s="215">
        <f>[1]!SGP_VA呼び径(H33,$F$49)</f>
        <v>0</v>
      </c>
      <c r="J33" s="639"/>
      <c r="K33" s="640"/>
      <c r="L33" s="641"/>
      <c r="M33" s="25"/>
    </row>
    <row r="34" spans="2:13" ht="16.5" customHeight="1">
      <c r="B34" s="637"/>
      <c r="C34" s="313"/>
      <c r="D34" s="167"/>
      <c r="E34" s="172"/>
      <c r="F34" s="172"/>
      <c r="G34" s="172"/>
      <c r="H34" s="215"/>
      <c r="I34" s="215"/>
      <c r="J34" s="639"/>
      <c r="K34" s="640"/>
      <c r="L34" s="641"/>
      <c r="M34" s="25"/>
    </row>
    <row r="35" spans="2:13" ht="16.5" customHeight="1">
      <c r="B35" s="637"/>
      <c r="C35" s="313">
        <f>'給水負荷単位'!H3</f>
        <v>2</v>
      </c>
      <c r="D35" s="314" t="s">
        <v>382</v>
      </c>
      <c r="E35" s="172">
        <f>'給水負荷単位'!H37</f>
        <v>0</v>
      </c>
      <c r="F35" s="172">
        <f>'給水負荷単位'!J37</f>
        <v>0</v>
      </c>
      <c r="G35" s="172">
        <f>'給水負荷単位'!J55</f>
      </c>
      <c r="H35" s="215">
        <f>SUM(F35,G35)</f>
        <v>0</v>
      </c>
      <c r="I35" s="215">
        <f>[1]!SGP_VA呼び径(H35,$F$49)</f>
        <v>0</v>
      </c>
      <c r="J35" s="639"/>
      <c r="K35" s="640"/>
      <c r="L35" s="641"/>
      <c r="M35" s="25"/>
    </row>
    <row r="36" spans="2:13" ht="16.5" customHeight="1">
      <c r="B36" s="637"/>
      <c r="C36" s="313"/>
      <c r="D36" s="167"/>
      <c r="E36" s="172"/>
      <c r="F36" s="172"/>
      <c r="G36" s="172"/>
      <c r="H36" s="215"/>
      <c r="I36" s="215"/>
      <c r="J36" s="639"/>
      <c r="K36" s="640"/>
      <c r="L36" s="641"/>
      <c r="M36" s="25"/>
    </row>
    <row r="37" spans="2:13" ht="16.5" customHeight="1">
      <c r="B37" s="637"/>
      <c r="C37" s="313">
        <f>'給水負荷単位'!K3</f>
        <v>3</v>
      </c>
      <c r="D37" s="314" t="s">
        <v>383</v>
      </c>
      <c r="E37" s="172">
        <f>'給水負荷単位'!K37</f>
        <v>0</v>
      </c>
      <c r="F37" s="172">
        <f>'給水負荷単位'!M37</f>
        <v>0</v>
      </c>
      <c r="G37" s="172">
        <f>'給水負荷単位'!M55</f>
      </c>
      <c r="H37" s="215">
        <f>SUM(F37,G37)</f>
        <v>0</v>
      </c>
      <c r="I37" s="215">
        <f>[1]!SGP_VA呼び径(H37,$F$49)</f>
        <v>0</v>
      </c>
      <c r="J37" s="639"/>
      <c r="K37" s="640"/>
      <c r="L37" s="641"/>
      <c r="M37" s="25"/>
    </row>
    <row r="38" spans="2:13" ht="16.5" customHeight="1">
      <c r="B38" s="637"/>
      <c r="C38" s="313"/>
      <c r="D38" s="167"/>
      <c r="E38" s="172"/>
      <c r="F38" s="172"/>
      <c r="G38" s="172"/>
      <c r="H38" s="215"/>
      <c r="I38" s="215"/>
      <c r="J38" s="639"/>
      <c r="K38" s="640"/>
      <c r="L38" s="641"/>
      <c r="M38" s="25"/>
    </row>
    <row r="39" spans="2:13" ht="16.5" customHeight="1">
      <c r="B39" s="637"/>
      <c r="C39" s="313">
        <f>'給水負荷単位'!N3</f>
        <v>4</v>
      </c>
      <c r="D39" s="314" t="s">
        <v>384</v>
      </c>
      <c r="E39" s="172">
        <f>'給水負荷単位'!N37</f>
        <v>0</v>
      </c>
      <c r="F39" s="172">
        <f>'給水負荷単位'!P37</f>
        <v>0</v>
      </c>
      <c r="G39" s="172">
        <f>'給水負荷単位'!P55</f>
      </c>
      <c r="H39" s="215">
        <f>SUM(F39,G39)</f>
        <v>0</v>
      </c>
      <c r="I39" s="215">
        <f>[1]!SGP_VA呼び径(H39,$F$49)</f>
        <v>0</v>
      </c>
      <c r="J39" s="639"/>
      <c r="K39" s="640"/>
      <c r="L39" s="641"/>
      <c r="M39" s="25"/>
    </row>
    <row r="40" spans="2:13" ht="16.5" customHeight="1">
      <c r="B40" s="637"/>
      <c r="C40" s="313"/>
      <c r="D40" s="167"/>
      <c r="E40" s="172"/>
      <c r="F40" s="172"/>
      <c r="G40" s="172"/>
      <c r="H40" s="215"/>
      <c r="I40" s="215"/>
      <c r="J40" s="639"/>
      <c r="K40" s="640"/>
      <c r="L40" s="641"/>
      <c r="M40" s="25"/>
    </row>
    <row r="41" spans="2:13" ht="16.5" customHeight="1">
      <c r="B41" s="637"/>
      <c r="C41" s="313">
        <f>'給水負荷単位'!Q3</f>
        <v>5</v>
      </c>
      <c r="D41" s="314" t="s">
        <v>385</v>
      </c>
      <c r="E41" s="172">
        <f>'給水負荷単位'!Q37</f>
        <v>0</v>
      </c>
      <c r="F41" s="172">
        <f>'給水負荷単位'!S37</f>
        <v>0</v>
      </c>
      <c r="G41" s="172">
        <f>'給水負荷単位'!S55</f>
      </c>
      <c r="H41" s="215">
        <f>SUM(F41,G41)</f>
        <v>0</v>
      </c>
      <c r="I41" s="215">
        <f>[1]!SGP_VA呼び径(H41,$F$49)</f>
        <v>0</v>
      </c>
      <c r="J41" s="639"/>
      <c r="K41" s="640"/>
      <c r="L41" s="641"/>
      <c r="M41" s="25"/>
    </row>
    <row r="42" spans="2:13" ht="16.5" customHeight="1">
      <c r="B42" s="637"/>
      <c r="C42" s="313"/>
      <c r="D42" s="167"/>
      <c r="E42" s="172"/>
      <c r="F42" s="172"/>
      <c r="G42" s="172"/>
      <c r="H42" s="673"/>
      <c r="I42" s="215"/>
      <c r="J42" s="639"/>
      <c r="K42" s="640"/>
      <c r="L42" s="641"/>
      <c r="M42" s="25"/>
    </row>
    <row r="43" spans="2:13" ht="16.5" customHeight="1">
      <c r="B43" s="637"/>
      <c r="C43" s="313" t="str">
        <f>'給水負荷単位'!T3</f>
        <v>P1</v>
      </c>
      <c r="D43" s="314" t="s">
        <v>386</v>
      </c>
      <c r="E43" s="172">
        <f>'給水負荷単位'!T37</f>
        <v>0</v>
      </c>
      <c r="F43" s="172">
        <f>'給水負荷単位'!V37</f>
        <v>0</v>
      </c>
      <c r="G43" s="172">
        <f>'給水負荷単位'!V55</f>
      </c>
      <c r="H43" s="215">
        <f>SUM(F43,G43)</f>
        <v>0</v>
      </c>
      <c r="I43" s="215">
        <f>[1]!SGP_VA呼び径(H43,$F$49)</f>
        <v>0</v>
      </c>
      <c r="J43" s="639"/>
      <c r="K43" s="640"/>
      <c r="L43" s="641"/>
      <c r="M43" s="25"/>
    </row>
    <row r="44" spans="2:13" ht="16.5" customHeight="1">
      <c r="B44" s="637"/>
      <c r="C44" s="309"/>
      <c r="D44" s="168"/>
      <c r="E44" s="174"/>
      <c r="F44" s="174"/>
      <c r="G44" s="174"/>
      <c r="H44" s="215">
        <f>F44+G44</f>
        <v>0</v>
      </c>
      <c r="I44" s="215"/>
      <c r="J44" s="642"/>
      <c r="K44" s="643"/>
      <c r="L44" s="644"/>
      <c r="M44" s="25"/>
    </row>
    <row r="45" spans="2:13" ht="12" customHeight="1">
      <c r="B45" s="637"/>
      <c r="C45" s="657" t="s">
        <v>387</v>
      </c>
      <c r="D45" s="658"/>
      <c r="E45" s="63"/>
      <c r="F45" s="72"/>
      <c r="G45" s="661" t="s">
        <v>389</v>
      </c>
      <c r="H45" s="662"/>
      <c r="I45" s="662"/>
      <c r="J45" s="662"/>
      <c r="K45" s="662"/>
      <c r="L45" s="663"/>
      <c r="M45" s="24"/>
    </row>
    <row r="46" spans="2:13" ht="12" customHeight="1">
      <c r="B46" s="637"/>
      <c r="C46" s="659"/>
      <c r="D46" s="660"/>
      <c r="E46" s="60" t="s">
        <v>388</v>
      </c>
      <c r="F46" s="60" t="s">
        <v>15</v>
      </c>
      <c r="G46" s="664"/>
      <c r="H46" s="665"/>
      <c r="I46" s="665"/>
      <c r="J46" s="665"/>
      <c r="K46" s="665"/>
      <c r="L46" s="666"/>
      <c r="M46" s="24"/>
    </row>
    <row r="47" spans="2:13" ht="12" customHeight="1">
      <c r="B47" s="637"/>
      <c r="C47" s="659"/>
      <c r="D47" s="660"/>
      <c r="E47" s="60"/>
      <c r="F47" s="62"/>
      <c r="G47" s="664"/>
      <c r="H47" s="665"/>
      <c r="I47" s="665"/>
      <c r="J47" s="665"/>
      <c r="K47" s="665"/>
      <c r="L47" s="666"/>
      <c r="M47" s="24"/>
    </row>
    <row r="48" spans="2:13" ht="15" customHeight="1">
      <c r="B48" s="637"/>
      <c r="C48" s="344" t="s">
        <v>113</v>
      </c>
      <c r="D48" s="333"/>
      <c r="E48" s="60" t="s">
        <v>30</v>
      </c>
      <c r="F48" s="62" t="s">
        <v>360</v>
      </c>
      <c r="G48" s="664"/>
      <c r="H48" s="665"/>
      <c r="I48" s="665"/>
      <c r="J48" s="665"/>
      <c r="K48" s="665"/>
      <c r="L48" s="666"/>
      <c r="M48" s="24"/>
    </row>
    <row r="49" spans="2:13" ht="24.75" customHeight="1" thickBot="1">
      <c r="B49" s="638"/>
      <c r="C49" s="671">
        <f>H43</f>
        <v>0</v>
      </c>
      <c r="D49" s="672"/>
      <c r="E49" s="184">
        <f>ROUND([1]!SGP_VA推奨流速(C49),1)</f>
        <v>0</v>
      </c>
      <c r="F49" s="184">
        <f>ROUNDUP([1]!SGP_VA推奨摩擦抵抗(C49),0)</f>
        <v>0</v>
      </c>
      <c r="G49" s="667"/>
      <c r="H49" s="668"/>
      <c r="I49" s="668"/>
      <c r="J49" s="668"/>
      <c r="K49" s="668"/>
      <c r="L49" s="669"/>
      <c r="M49" s="25"/>
    </row>
    <row r="50" ht="15" customHeight="1"/>
  </sheetData>
  <sheetProtection password="E916" sheet="1" objects="1" scenarios="1" selectLockedCells="1" selectUnlockedCells="1"/>
  <mergeCells count="65">
    <mergeCell ref="C5:D5"/>
    <mergeCell ref="C45:D47"/>
    <mergeCell ref="G45:L49"/>
    <mergeCell ref="B11:B15"/>
    <mergeCell ref="C9:D9"/>
    <mergeCell ref="B3:B10"/>
    <mergeCell ref="C3:D3"/>
    <mergeCell ref="C4:D4"/>
    <mergeCell ref="C49:D49"/>
    <mergeCell ref="C13:D13"/>
    <mergeCell ref="C48:D48"/>
    <mergeCell ref="C18:D18"/>
    <mergeCell ref="C11:D11"/>
    <mergeCell ref="C10:D10"/>
    <mergeCell ref="C12:D12"/>
    <mergeCell ref="E10:F10"/>
    <mergeCell ref="C16:D16"/>
    <mergeCell ref="C17:D17"/>
    <mergeCell ref="C14:D14"/>
    <mergeCell ref="C15:D15"/>
    <mergeCell ref="J3:K3"/>
    <mergeCell ref="J4:K4"/>
    <mergeCell ref="J12:K12"/>
    <mergeCell ref="J13:K13"/>
    <mergeCell ref="J5:K5"/>
    <mergeCell ref="J14:K14"/>
    <mergeCell ref="J11:K11"/>
    <mergeCell ref="C6:D6"/>
    <mergeCell ref="C7:D7"/>
    <mergeCell ref="J6:K6"/>
    <mergeCell ref="J9:K9"/>
    <mergeCell ref="J7:K7"/>
    <mergeCell ref="J8:K8"/>
    <mergeCell ref="C8:D8"/>
    <mergeCell ref="E7:F9"/>
    <mergeCell ref="J26:L26"/>
    <mergeCell ref="J22:L24"/>
    <mergeCell ref="J15:K15"/>
    <mergeCell ref="I19:K21"/>
    <mergeCell ref="I16:K18"/>
    <mergeCell ref="I22:I24"/>
    <mergeCell ref="J25:L25"/>
    <mergeCell ref="J31:L31"/>
    <mergeCell ref="J32:L32"/>
    <mergeCell ref="J33:L33"/>
    <mergeCell ref="J27:L27"/>
    <mergeCell ref="J28:L28"/>
    <mergeCell ref="J29:L29"/>
    <mergeCell ref="J30:L30"/>
    <mergeCell ref="J40:L40"/>
    <mergeCell ref="J41:L41"/>
    <mergeCell ref="J34:L34"/>
    <mergeCell ref="J35:L35"/>
    <mergeCell ref="J36:L36"/>
    <mergeCell ref="J37:L37"/>
    <mergeCell ref="B2:L2"/>
    <mergeCell ref="C19:D19"/>
    <mergeCell ref="C20:D20"/>
    <mergeCell ref="C21:D21"/>
    <mergeCell ref="B16:B49"/>
    <mergeCell ref="J42:L42"/>
    <mergeCell ref="J43:L43"/>
    <mergeCell ref="J44:L44"/>
    <mergeCell ref="J38:L38"/>
    <mergeCell ref="J39:L39"/>
  </mergeCells>
  <dataValidations count="2">
    <dataValidation type="list" allowBlank="1" showInputMessage="1" showErrorMessage="1" sqref="L8">
      <formula1>$P$7:$P$8</formula1>
    </dataValidation>
    <dataValidation type="list" allowBlank="1" showInputMessage="1" showErrorMessage="1" sqref="J10">
      <formula1>$Q$7:$Q$8</formula1>
    </dataValidation>
  </dataValidations>
  <printOptions/>
  <pageMargins left="0.5905511811023623" right="0.1968503937007874" top="0.984251968503937" bottom="0.3937007874015748" header="0.3937007874015748" footer="0.1968503937007874"/>
  <pageSetup horizontalDpi="600" verticalDpi="600" orientation="portrait" paperSize="9" r:id="rId3"/>
  <headerFooter alignWithMargins="0">
    <oddHeader>&amp;L&amp;"MS UI Gothic,標準"&amp;12&amp;U給 排 水 衛 生 設 備&amp;"ＭＳ Ｐゴシック,標準"&amp;11&amp;U
  &amp;"MS UI Gothic,標準"給  水  配  管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設備設計　ＡＤＯ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給水計算書</dc:title>
  <dc:subject>高置タンク方式</dc:subject>
  <dc:creator>伊勢﨑　正視</dc:creator>
  <cp:keywords/>
  <dc:description/>
  <cp:lastModifiedBy>MasamiIsezaki</cp:lastModifiedBy>
  <cp:lastPrinted>2000-01-31T04:57:18Z</cp:lastPrinted>
  <dcterms:created xsi:type="dcterms:W3CDTF">1999-07-07T00:06:35Z</dcterms:created>
  <dcterms:modified xsi:type="dcterms:W3CDTF">2006-05-15T20:12:27Z</dcterms:modified>
  <cp:category/>
  <cp:version/>
  <cp:contentType/>
  <cp:contentStatus/>
</cp:coreProperties>
</file>